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934" activeTab="0"/>
  </bookViews>
  <sheets>
    <sheet name="CHAVES" sheetId="1" r:id="rId1"/>
  </sheets>
  <definedNames>
    <definedName name="_xlnm.Print_Area" localSheetId="0">'CHAVES'!$A$1:$AK$93</definedName>
  </definedNames>
  <calcPr fullCalcOnLoad="1"/>
</workbook>
</file>

<file path=xl/sharedStrings.xml><?xml version="1.0" encoding="utf-8"?>
<sst xmlns="http://schemas.openxmlformats.org/spreadsheetml/2006/main" count="120" uniqueCount="64">
  <si>
    <t>BADMINTON</t>
  </si>
  <si>
    <t>HORA</t>
  </si>
  <si>
    <t>41smi1</t>
  </si>
  <si>
    <t>46smm1</t>
  </si>
  <si>
    <t>41smi2</t>
  </si>
  <si>
    <t>46smm2</t>
  </si>
  <si>
    <t>46smm3</t>
  </si>
  <si>
    <t>SMD</t>
  </si>
  <si>
    <t>1º</t>
  </si>
  <si>
    <t>2º</t>
  </si>
  <si>
    <t>3º</t>
  </si>
  <si>
    <t>CLASSIFICAÇÃO FINAL</t>
  </si>
  <si>
    <t>CLASSIFICATÓRIO</t>
  </si>
  <si>
    <t>4ª Região</t>
  </si>
  <si>
    <t>Matheus Missola 12(FON)02495</t>
  </si>
  <si>
    <t>Gael Carvalho 09(FON)02401</t>
  </si>
  <si>
    <t>Pedro Henrique Galina 10(SNEC)02673</t>
  </si>
  <si>
    <t>Gabriel Bertanha 10(FON)02490</t>
  </si>
  <si>
    <t>FEBASP 2023 - Rumo a 645 municipios do Estado de São Paulo</t>
  </si>
  <si>
    <t>Samuel Huang 13(FON)02800</t>
  </si>
  <si>
    <t>Samuel Vieira 11(FON)02803</t>
  </si>
  <si>
    <t>SMsub13</t>
  </si>
  <si>
    <t>Anna Olivatto 10(FON)02532</t>
  </si>
  <si>
    <t>SFsub15</t>
  </si>
  <si>
    <t>SMsub15</t>
  </si>
  <si>
    <t>Davi Fraga 10(FON)02489</t>
  </si>
  <si>
    <t>V TORNEIO REGIONAL</t>
  </si>
  <si>
    <t>Sociedde Hípica de Campinas</t>
  </si>
  <si>
    <t>Campinas, 21 de outubro de 2023</t>
  </si>
  <si>
    <t>V TORNEIO REGIONAL - 4a REGIÃO - Sociedade Hípica de Campinas 2023</t>
  </si>
  <si>
    <t>SABADO, 21 OUTUBRO DE 2023</t>
  </si>
  <si>
    <t>Rafael Seraphim 95(CFR)00250</t>
  </si>
  <si>
    <t>Guilherme Casonato 07(SHC)02188</t>
  </si>
  <si>
    <t>Luiz Felipe Moleiro 08(SHC)02576</t>
  </si>
  <si>
    <t>SMsub17</t>
  </si>
  <si>
    <t>Felipe Piovezanni 10(SHC)02578</t>
  </si>
  <si>
    <t>Henrique Azevedo 10(SHC)02579</t>
  </si>
  <si>
    <t>Felipe Fardelône 09(SHC)02577</t>
  </si>
  <si>
    <t>Enzo Mantovani 09(SNEC)02407</t>
  </si>
  <si>
    <t>Ana Luiza Poubel 10(SHC)02531</t>
  </si>
  <si>
    <t>n</t>
  </si>
  <si>
    <t>Pts</t>
  </si>
  <si>
    <t>Frederico Chanolf 11(SHC)02397</t>
  </si>
  <si>
    <t>Guilherme Chanoft 13(SHC)02646</t>
  </si>
  <si>
    <t>SMsub11</t>
  </si>
  <si>
    <t>14:00h</t>
  </si>
  <si>
    <t>14:30h</t>
  </si>
  <si>
    <t>15:00h</t>
  </si>
  <si>
    <t>15:30h</t>
  </si>
  <si>
    <t>16:00h</t>
  </si>
  <si>
    <t>16:30h</t>
  </si>
  <si>
    <t>V REG 2023</t>
  </si>
  <si>
    <t>41smi3</t>
  </si>
  <si>
    <t>41smi4</t>
  </si>
  <si>
    <t>41smi5</t>
  </si>
  <si>
    <t>41smi6</t>
  </si>
  <si>
    <t>41smi7</t>
  </si>
  <si>
    <t>21/10,</t>
  </si>
  <si>
    <t>36smjv1</t>
  </si>
  <si>
    <t>42sfi1</t>
  </si>
  <si>
    <t>51smp1</t>
  </si>
  <si>
    <t>Pedro Benatti 97(SHC)00480</t>
  </si>
  <si>
    <t>21smd1</t>
  </si>
  <si>
    <t xml:space="preserve">                                       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</si>
</sst>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  <numFmt numFmtId="171" formatCode="0.0"/>
    <numFmt numFmtId="172" formatCode="0.0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i/>
      <sz val="48"/>
      <name val="Times New Roman"/>
      <family val="1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17"/>
      <name val="Arial"/>
      <family val="2"/>
    </font>
    <font>
      <b/>
      <sz val="8"/>
      <color indexed="10"/>
      <name val="Arial"/>
      <family val="2"/>
    </font>
    <font>
      <sz val="7"/>
      <color indexed="57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18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7.5"/>
      <color indexed="12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b/>
      <i/>
      <sz val="36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b/>
      <i/>
      <sz val="30"/>
      <color indexed="63"/>
      <name val="Times New Roman"/>
      <family val="1"/>
    </font>
    <font>
      <b/>
      <i/>
      <sz val="14"/>
      <color indexed="63"/>
      <name val="Times New Roman"/>
      <family val="1"/>
    </font>
    <font>
      <b/>
      <i/>
      <sz val="17"/>
      <color indexed="63"/>
      <name val="Times New Roman"/>
      <family val="1"/>
    </font>
    <font>
      <b/>
      <i/>
      <sz val="18"/>
      <name val="Times New Roman"/>
      <family val="1"/>
    </font>
    <font>
      <sz val="7"/>
      <color indexed="12"/>
      <name val="Arial"/>
      <family val="2"/>
    </font>
    <font>
      <sz val="7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.5"/>
      <color indexed="9"/>
      <name val="Verdana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7.5"/>
      <color theme="0"/>
      <name val="Verdana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0" fontId="3" fillId="33" borderId="12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" fontId="3" fillId="33" borderId="10" xfId="0" applyNumberFormat="1" applyFont="1" applyFill="1" applyBorder="1" applyAlignment="1" applyProtection="1">
      <alignment/>
      <protection locked="0"/>
    </xf>
    <xf numFmtId="16" fontId="3" fillId="33" borderId="13" xfId="0" applyNumberFormat="1" applyFont="1" applyFill="1" applyBorder="1" applyAlignment="1" applyProtection="1">
      <alignment/>
      <protection locked="0"/>
    </xf>
    <xf numFmtId="20" fontId="3" fillId="33" borderId="14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16" xfId="0" applyFont="1" applyFill="1" applyBorder="1" applyAlignment="1" applyProtection="1">
      <alignment/>
      <protection locked="0"/>
    </xf>
    <xf numFmtId="0" fontId="15" fillId="34" borderId="13" xfId="0" applyFont="1" applyFill="1" applyBorder="1" applyAlignment="1" applyProtection="1">
      <alignment/>
      <protection locked="0"/>
    </xf>
    <xf numFmtId="0" fontId="12" fillId="34" borderId="17" xfId="0" applyFont="1" applyFill="1" applyBorder="1" applyAlignment="1" applyProtection="1">
      <alignment horizontal="right"/>
      <protection/>
    </xf>
    <xf numFmtId="0" fontId="12" fillId="34" borderId="18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right"/>
    </xf>
    <xf numFmtId="0" fontId="12" fillId="33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8" fillId="34" borderId="19" xfId="0" applyFont="1" applyFill="1" applyBorder="1" applyAlignment="1" applyProtection="1">
      <alignment/>
      <protection locked="0"/>
    </xf>
    <xf numFmtId="0" fontId="19" fillId="34" borderId="20" xfId="0" applyFont="1" applyFill="1" applyBorder="1" applyAlignment="1" applyProtection="1">
      <alignment/>
      <protection locked="0"/>
    </xf>
    <xf numFmtId="16" fontId="3" fillId="34" borderId="2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22" fillId="33" borderId="21" xfId="0" applyFont="1" applyFill="1" applyBorder="1" applyAlignment="1" applyProtection="1">
      <alignment vertical="distributed"/>
      <protection locked="0"/>
    </xf>
    <xf numFmtId="0" fontId="22" fillId="33" borderId="0" xfId="0" applyFont="1" applyFill="1" applyBorder="1" applyAlignment="1" applyProtection="1">
      <alignment vertical="distributed"/>
      <protection locked="0"/>
    </xf>
    <xf numFmtId="0" fontId="22" fillId="33" borderId="22" xfId="0" applyFont="1" applyFill="1" applyBorder="1" applyAlignment="1" applyProtection="1">
      <alignment vertical="distributed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13" fillId="33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Border="1" applyAlignment="1">
      <alignment vertical="center"/>
    </xf>
    <xf numFmtId="0" fontId="2" fillId="19" borderId="16" xfId="0" applyFont="1" applyFill="1" applyBorder="1" applyAlignment="1" applyProtection="1">
      <alignment/>
      <protection locked="0"/>
    </xf>
    <xf numFmtId="0" fontId="15" fillId="19" borderId="10" xfId="0" applyFont="1" applyFill="1" applyBorder="1" applyAlignment="1" applyProtection="1">
      <alignment/>
      <protection locked="0"/>
    </xf>
    <xf numFmtId="0" fontId="12" fillId="19" borderId="11" xfId="0" applyFont="1" applyFill="1" applyBorder="1" applyAlignment="1" applyProtection="1">
      <alignment horizontal="right"/>
      <protection/>
    </xf>
    <xf numFmtId="16" fontId="3" fillId="35" borderId="0" xfId="0" applyNumberFormat="1" applyFont="1" applyFill="1" applyBorder="1" applyAlignment="1" applyProtection="1">
      <alignment/>
      <protection locked="0"/>
    </xf>
    <xf numFmtId="0" fontId="21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15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 horizontal="right"/>
      <protection/>
    </xf>
    <xf numFmtId="0" fontId="15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 locked="0"/>
    </xf>
    <xf numFmtId="20" fontId="3" fillId="35" borderId="0" xfId="0" applyNumberFormat="1" applyFont="1" applyFill="1" applyBorder="1" applyAlignment="1" applyProtection="1">
      <alignment/>
      <protection locked="0"/>
    </xf>
    <xf numFmtId="16" fontId="3" fillId="34" borderId="24" xfId="0" applyNumberFormat="1" applyFont="1" applyFill="1" applyBorder="1" applyAlignment="1" applyProtection="1">
      <alignment/>
      <protection locked="0"/>
    </xf>
    <xf numFmtId="0" fontId="2" fillId="19" borderId="25" xfId="0" applyFont="1" applyFill="1" applyBorder="1" applyAlignment="1" applyProtection="1">
      <alignment/>
      <protection locked="0"/>
    </xf>
    <xf numFmtId="0" fontId="15" fillId="19" borderId="26" xfId="0" applyFont="1" applyFill="1" applyBorder="1" applyAlignment="1" applyProtection="1">
      <alignment/>
      <protection locked="0"/>
    </xf>
    <xf numFmtId="0" fontId="12" fillId="19" borderId="27" xfId="0" applyFont="1" applyFill="1" applyBorder="1" applyAlignment="1" applyProtection="1">
      <alignment horizontal="right"/>
      <protection/>
    </xf>
    <xf numFmtId="0" fontId="2" fillId="34" borderId="28" xfId="0" applyFont="1" applyFill="1" applyBorder="1" applyAlignment="1" applyProtection="1">
      <alignment/>
      <protection locked="0"/>
    </xf>
    <xf numFmtId="0" fontId="15" fillId="34" borderId="29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74" fillId="33" borderId="0" xfId="0" applyFont="1" applyFill="1" applyBorder="1" applyAlignment="1">
      <alignment/>
    </xf>
    <xf numFmtId="0" fontId="75" fillId="0" borderId="0" xfId="0" applyFont="1" applyAlignment="1">
      <alignment/>
    </xf>
    <xf numFmtId="0" fontId="2" fillId="0" borderId="0" xfId="0" applyFont="1" applyAlignment="1">
      <alignment vertical="center"/>
    </xf>
    <xf numFmtId="1" fontId="4" fillId="0" borderId="30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/>
    </xf>
    <xf numFmtId="1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31" xfId="0" applyFont="1" applyBorder="1" applyAlignment="1">
      <alignment/>
    </xf>
    <xf numFmtId="0" fontId="9" fillId="0" borderId="32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4" fillId="0" borderId="34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3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1" fontId="2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4" fillId="0" borderId="34" xfId="0" applyFont="1" applyBorder="1" applyAlignment="1">
      <alignment/>
    </xf>
    <xf numFmtId="16" fontId="4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9" fillId="0" borderId="0" xfId="0" applyFont="1" applyBorder="1" applyAlignment="1">
      <alignment horizontal="left"/>
    </xf>
    <xf numFmtId="20" fontId="2" fillId="0" borderId="0" xfId="0" applyNumberFormat="1" applyFont="1" applyAlignment="1">
      <alignment horizontal="right"/>
    </xf>
    <xf numFmtId="0" fontId="76" fillId="33" borderId="0" xfId="0" applyFont="1" applyFill="1" applyBorder="1" applyAlignment="1" applyProtection="1">
      <alignment/>
      <protection locked="0"/>
    </xf>
    <xf numFmtId="0" fontId="77" fillId="33" borderId="0" xfId="0" applyFont="1" applyFill="1" applyBorder="1" applyAlignment="1" applyProtection="1">
      <alignment/>
      <protection locked="0"/>
    </xf>
    <xf numFmtId="0" fontId="78" fillId="0" borderId="0" xfId="0" applyFont="1" applyAlignment="1">
      <alignment/>
    </xf>
    <xf numFmtId="0" fontId="76" fillId="33" borderId="0" xfId="0" applyFont="1" applyFill="1" applyBorder="1" applyAlignment="1" applyProtection="1">
      <alignment/>
      <protection/>
    </xf>
    <xf numFmtId="0" fontId="77" fillId="33" borderId="0" xfId="0" applyFont="1" applyFill="1" applyAlignment="1" applyProtection="1">
      <alignment/>
      <protection locked="0"/>
    </xf>
    <xf numFmtId="0" fontId="79" fillId="33" borderId="0" xfId="0" applyFont="1" applyFill="1" applyAlignment="1" applyProtection="1">
      <alignment/>
      <protection/>
    </xf>
    <xf numFmtId="0" fontId="77" fillId="33" borderId="0" xfId="0" applyFont="1" applyFill="1" applyBorder="1" applyAlignment="1" applyProtection="1">
      <alignment/>
      <protection locked="0"/>
    </xf>
    <xf numFmtId="0" fontId="77" fillId="0" borderId="0" xfId="0" applyFont="1" applyAlignment="1" applyProtection="1">
      <alignment/>
      <protection/>
    </xf>
    <xf numFmtId="16" fontId="80" fillId="35" borderId="0" xfId="0" applyNumberFormat="1" applyFont="1" applyFill="1" applyBorder="1" applyAlignment="1" applyProtection="1">
      <alignment/>
      <protection locked="0"/>
    </xf>
    <xf numFmtId="0" fontId="81" fillId="35" borderId="0" xfId="0" applyFont="1" applyFill="1" applyBorder="1" applyAlignment="1" applyProtection="1">
      <alignment/>
      <protection locked="0"/>
    </xf>
    <xf numFmtId="0" fontId="80" fillId="35" borderId="0" xfId="0" applyFont="1" applyFill="1" applyBorder="1" applyAlignment="1" applyProtection="1">
      <alignment horizontal="right"/>
      <protection/>
    </xf>
    <xf numFmtId="0" fontId="76" fillId="0" borderId="0" xfId="0" applyFont="1" applyAlignment="1" applyProtection="1">
      <alignment/>
      <protection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 horizontal="left"/>
    </xf>
    <xf numFmtId="0" fontId="77" fillId="0" borderId="0" xfId="0" applyFont="1" applyAlignment="1">
      <alignment horizontal="center"/>
    </xf>
    <xf numFmtId="170" fontId="77" fillId="0" borderId="0" xfId="0" applyNumberFormat="1" applyFont="1" applyAlignment="1">
      <alignment horizontal="center"/>
    </xf>
    <xf numFmtId="0" fontId="77" fillId="0" borderId="36" xfId="0" applyFont="1" applyBorder="1" applyAlignment="1">
      <alignment/>
    </xf>
    <xf numFmtId="0" fontId="77" fillId="0" borderId="36" xfId="0" applyFont="1" applyBorder="1" applyAlignment="1">
      <alignment horizontal="left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7" fillId="0" borderId="37" xfId="0" applyFont="1" applyBorder="1" applyAlignment="1">
      <alignment/>
    </xf>
    <xf numFmtId="0" fontId="77" fillId="0" borderId="37" xfId="0" applyFont="1" applyBorder="1" applyAlignment="1">
      <alignment horizontal="left"/>
    </xf>
    <xf numFmtId="0" fontId="77" fillId="0" borderId="26" xfId="0" applyFont="1" applyBorder="1" applyAlignment="1">
      <alignment/>
    </xf>
    <xf numFmtId="0" fontId="77" fillId="0" borderId="35" xfId="0" applyFont="1" applyBorder="1" applyAlignment="1">
      <alignment/>
    </xf>
    <xf numFmtId="0" fontId="77" fillId="0" borderId="35" xfId="0" applyFont="1" applyBorder="1" applyAlignment="1">
      <alignment horizontal="left"/>
    </xf>
    <xf numFmtId="170" fontId="82" fillId="0" borderId="0" xfId="0" applyNumberFormat="1" applyFont="1" applyAlignment="1">
      <alignment horizontal="left"/>
    </xf>
    <xf numFmtId="0" fontId="77" fillId="0" borderId="38" xfId="0" applyFont="1" applyBorder="1" applyAlignment="1">
      <alignment/>
    </xf>
    <xf numFmtId="0" fontId="77" fillId="33" borderId="36" xfId="0" applyFont="1" applyFill="1" applyBorder="1" applyAlignment="1">
      <alignment/>
    </xf>
    <xf numFmtId="0" fontId="77" fillId="36" borderId="0" xfId="0" applyFont="1" applyFill="1" applyAlignment="1">
      <alignment/>
    </xf>
    <xf numFmtId="0" fontId="77" fillId="33" borderId="37" xfId="0" applyFont="1" applyFill="1" applyBorder="1" applyAlignment="1">
      <alignment/>
    </xf>
    <xf numFmtId="0" fontId="77" fillId="0" borderId="39" xfId="0" applyFont="1" applyBorder="1" applyAlignment="1">
      <alignment/>
    </xf>
    <xf numFmtId="0" fontId="77" fillId="33" borderId="35" xfId="0" applyFont="1" applyFill="1" applyBorder="1" applyAlignment="1">
      <alignment/>
    </xf>
    <xf numFmtId="0" fontId="77" fillId="36" borderId="26" xfId="0" applyFont="1" applyFill="1" applyBorder="1" applyAlignment="1">
      <alignment/>
    </xf>
    <xf numFmtId="0" fontId="77" fillId="33" borderId="0" xfId="0" applyFont="1" applyFill="1" applyAlignment="1">
      <alignment/>
    </xf>
    <xf numFmtId="170" fontId="77" fillId="0" borderId="0" xfId="0" applyNumberFormat="1" applyFont="1" applyAlignment="1">
      <alignment/>
    </xf>
    <xf numFmtId="2" fontId="77" fillId="33" borderId="0" xfId="0" applyNumberFormat="1" applyFont="1" applyFill="1" applyBorder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6" fillId="33" borderId="21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6" fillId="33" borderId="22" xfId="0" applyFont="1" applyFill="1" applyBorder="1" applyAlignment="1" applyProtection="1">
      <alignment horizontal="center" vertical="top"/>
      <protection locked="0"/>
    </xf>
    <xf numFmtId="0" fontId="22" fillId="33" borderId="21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2" fillId="33" borderId="22" xfId="0" applyFont="1" applyFill="1" applyBorder="1" applyAlignment="1" applyProtection="1">
      <alignment horizontal="center"/>
      <protection locked="0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14" fillId="33" borderId="43" xfId="0" applyFont="1" applyFill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24" fillId="33" borderId="21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2" fillId="33" borderId="21" xfId="0" applyFont="1" applyFill="1" applyBorder="1" applyAlignment="1" applyProtection="1">
      <alignment horizontal="center" vertical="top"/>
      <protection locked="0"/>
    </xf>
    <xf numFmtId="0" fontId="22" fillId="33" borderId="0" xfId="0" applyFont="1" applyFill="1" applyBorder="1" applyAlignment="1" applyProtection="1">
      <alignment horizontal="center" vertical="top"/>
      <protection locked="0"/>
    </xf>
    <xf numFmtId="0" fontId="22" fillId="33" borderId="22" xfId="0" applyFont="1" applyFill="1" applyBorder="1" applyAlignment="1" applyProtection="1">
      <alignment horizontal="center" vertical="top"/>
      <protection locked="0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0" fillId="34" borderId="47" xfId="0" applyFont="1" applyFill="1" applyBorder="1" applyAlignment="1" applyProtection="1">
      <alignment horizontal="center"/>
      <protection locked="0"/>
    </xf>
    <xf numFmtId="0" fontId="20" fillId="34" borderId="10" xfId="0" applyFont="1" applyFill="1" applyBorder="1" applyAlignment="1" applyProtection="1">
      <alignment horizontal="center"/>
      <protection locked="0"/>
    </xf>
    <xf numFmtId="0" fontId="20" fillId="34" borderId="3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180975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Q97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1" width="2.8515625" style="21" customWidth="1"/>
    <col min="2" max="2" width="3.28125" style="21" customWidth="1"/>
    <col min="3" max="3" width="2.57421875" style="21" customWidth="1"/>
    <col min="4" max="5" width="3.28125" style="21" customWidth="1"/>
    <col min="6" max="6" width="2.8515625" style="21" customWidth="1"/>
    <col min="7" max="7" width="3.28125" style="21" customWidth="1"/>
    <col min="8" max="8" width="3.8515625" style="21" customWidth="1"/>
    <col min="9" max="9" width="2.8515625" style="21" customWidth="1"/>
    <col min="10" max="10" width="3.00390625" style="21" customWidth="1"/>
    <col min="11" max="11" width="3.28125" style="21" customWidth="1"/>
    <col min="12" max="12" width="3.140625" style="21" customWidth="1"/>
    <col min="13" max="29" width="3.28125" style="21" customWidth="1"/>
    <col min="30" max="30" width="2.7109375" style="21" customWidth="1"/>
    <col min="31" max="31" width="3.00390625" style="21" customWidth="1"/>
    <col min="32" max="32" width="2.421875" style="124" customWidth="1"/>
    <col min="33" max="37" width="0.13671875" style="159" customWidth="1"/>
    <col min="38" max="62" width="0.13671875" style="159" hidden="1" customWidth="1"/>
    <col min="63" max="69" width="9.140625" style="159" customWidth="1"/>
    <col min="70" max="16384" width="9.140625" style="11" customWidth="1"/>
  </cols>
  <sheetData>
    <row r="1" spans="1:69" s="19" customFormat="1" ht="63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7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</row>
    <row r="2" spans="1:69" s="19" customFormat="1" ht="69.75" customHeight="1">
      <c r="A2" s="181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3"/>
      <c r="AF2" s="121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</row>
    <row r="3" spans="1:69" s="19" customFormat="1" ht="59.25" customHeight="1">
      <c r="A3" s="166">
        <v>2023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8"/>
      <c r="AF3" s="121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</row>
    <row r="4" spans="1:69" s="19" customFormat="1" ht="43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7"/>
      <c r="AF4" s="121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</row>
    <row r="5" spans="1:69" s="19" customFormat="1" ht="75.75" customHeight="1">
      <c r="A5" s="169" t="s">
        <v>26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1"/>
      <c r="AF5" s="121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</row>
    <row r="6" spans="1:69" s="19" customFormat="1" ht="33.7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  <c r="AF6" s="121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</row>
    <row r="7" spans="1:69" s="19" customFormat="1" ht="54" customHeight="1">
      <c r="A7" s="193" t="s">
        <v>13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5"/>
      <c r="AF7" s="121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</row>
    <row r="8" spans="1:69" s="19" customFormat="1" ht="68.25" customHeight="1">
      <c r="A8" s="184" t="s">
        <v>27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6"/>
      <c r="AF8" s="121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</row>
    <row r="9" spans="1:69" s="19" customFormat="1" ht="50.2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4"/>
      <c r="AF9" s="122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</row>
    <row r="10" spans="1:69" s="19" customFormat="1" ht="80.2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8"/>
      <c r="AF10" s="121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</row>
    <row r="11" spans="1:69" s="26" customFormat="1" ht="79.5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9"/>
      <c r="AF11" s="121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</row>
    <row r="12" spans="1:69" s="26" customFormat="1" ht="38.25" customHeight="1">
      <c r="A12" s="178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80"/>
      <c r="AF12" s="121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</row>
    <row r="13" spans="1:69" s="27" customFormat="1" ht="45" customHeight="1" thickBot="1">
      <c r="A13" s="199" t="s">
        <v>18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1"/>
      <c r="AF13" s="124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</row>
    <row r="14" spans="1:69" s="10" customFormat="1" ht="12" customHeight="1" thickBot="1">
      <c r="A14" s="37"/>
      <c r="B14" s="3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26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</row>
    <row r="15" spans="1:69" s="10" customFormat="1" ht="14.25" customHeight="1">
      <c r="A15" s="39" t="s">
        <v>30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0"/>
      <c r="M15" s="41"/>
      <c r="N15" s="40" t="s">
        <v>51</v>
      </c>
      <c r="O15" s="40"/>
      <c r="P15" s="41"/>
      <c r="Q15" s="64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128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</row>
    <row r="16" spans="1:69" s="10" customFormat="1" ht="15" customHeight="1">
      <c r="A16" s="24" t="s">
        <v>1</v>
      </c>
      <c r="B16" s="22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129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</row>
    <row r="17" spans="1:69" s="28" customFormat="1" ht="12" customHeight="1">
      <c r="A17" s="17" t="s">
        <v>45</v>
      </c>
      <c r="B17" s="23"/>
      <c r="C17" s="53" t="s">
        <v>2</v>
      </c>
      <c r="D17" s="54"/>
      <c r="E17" s="55"/>
      <c r="F17" s="53" t="s">
        <v>4</v>
      </c>
      <c r="G17" s="54"/>
      <c r="H17" s="55"/>
      <c r="I17" s="53" t="s">
        <v>52</v>
      </c>
      <c r="J17" s="54"/>
      <c r="K17" s="55"/>
      <c r="L17" s="53" t="s">
        <v>53</v>
      </c>
      <c r="M17" s="54"/>
      <c r="N17" s="55"/>
      <c r="O17" s="31"/>
      <c r="P17" s="32"/>
      <c r="Q17" s="33"/>
      <c r="R17" s="58"/>
      <c r="S17" s="59"/>
      <c r="T17" s="60"/>
      <c r="U17" s="58"/>
      <c r="V17" s="59"/>
      <c r="W17" s="60"/>
      <c r="X17" s="58"/>
      <c r="Y17" s="61"/>
      <c r="Z17" s="60"/>
      <c r="AA17" s="58"/>
      <c r="AB17" s="58"/>
      <c r="AC17" s="60"/>
      <c r="AD17" s="58"/>
      <c r="AE17" s="58"/>
      <c r="AF17" s="130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</row>
    <row r="18" spans="1:69" s="28" customFormat="1" ht="12" customHeight="1">
      <c r="A18" s="17" t="s">
        <v>46</v>
      </c>
      <c r="B18" s="23"/>
      <c r="C18" s="53" t="s">
        <v>3</v>
      </c>
      <c r="D18" s="54"/>
      <c r="E18" s="55"/>
      <c r="F18" s="53" t="s">
        <v>58</v>
      </c>
      <c r="G18" s="54"/>
      <c r="H18" s="55"/>
      <c r="I18" s="53" t="s">
        <v>62</v>
      </c>
      <c r="J18" s="54"/>
      <c r="K18" s="55"/>
      <c r="L18" s="53"/>
      <c r="M18" s="54"/>
      <c r="N18" s="55"/>
      <c r="O18" s="31"/>
      <c r="P18" s="32"/>
      <c r="Q18" s="33"/>
      <c r="R18" s="58"/>
      <c r="S18" s="59"/>
      <c r="T18" s="60"/>
      <c r="U18" s="58"/>
      <c r="V18" s="59"/>
      <c r="W18" s="60"/>
      <c r="X18" s="58"/>
      <c r="Y18" s="61"/>
      <c r="Z18" s="60"/>
      <c r="AA18" s="58"/>
      <c r="AB18" s="62"/>
      <c r="AC18" s="60"/>
      <c r="AD18" s="58"/>
      <c r="AE18" s="62"/>
      <c r="AF18" s="130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</row>
    <row r="19" spans="1:69" s="28" customFormat="1" ht="12" customHeight="1">
      <c r="A19" s="17" t="s">
        <v>47</v>
      </c>
      <c r="B19" s="23"/>
      <c r="C19" s="53" t="s">
        <v>54</v>
      </c>
      <c r="D19" s="54"/>
      <c r="E19" s="55"/>
      <c r="F19" s="53" t="s">
        <v>55</v>
      </c>
      <c r="G19" s="54"/>
      <c r="H19" s="55"/>
      <c r="I19" s="53"/>
      <c r="J19" s="54"/>
      <c r="K19" s="55"/>
      <c r="L19" s="53"/>
      <c r="M19" s="54"/>
      <c r="N19" s="55"/>
      <c r="O19" s="31"/>
      <c r="P19" s="32"/>
      <c r="Q19" s="33"/>
      <c r="R19" s="58"/>
      <c r="S19" s="59"/>
      <c r="T19" s="60"/>
      <c r="U19" s="58"/>
      <c r="V19" s="59"/>
      <c r="W19" s="60"/>
      <c r="X19" s="58"/>
      <c r="Y19" s="61"/>
      <c r="Z19" s="60"/>
      <c r="AA19" s="58"/>
      <c r="AB19" s="62"/>
      <c r="AC19" s="60"/>
      <c r="AD19" s="58"/>
      <c r="AE19" s="62"/>
      <c r="AF19" s="130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</row>
    <row r="20" spans="1:69" s="28" customFormat="1" ht="12" customHeight="1">
      <c r="A20" s="17" t="s">
        <v>48</v>
      </c>
      <c r="B20" s="23"/>
      <c r="C20" s="53" t="s">
        <v>5</v>
      </c>
      <c r="D20" s="54"/>
      <c r="E20" s="55"/>
      <c r="F20" s="53" t="s">
        <v>60</v>
      </c>
      <c r="G20" s="54"/>
      <c r="H20" s="55"/>
      <c r="I20" s="53"/>
      <c r="J20" s="54"/>
      <c r="K20" s="55"/>
      <c r="L20" s="53"/>
      <c r="M20" s="54"/>
      <c r="N20" s="55"/>
      <c r="O20" s="31"/>
      <c r="P20" s="32"/>
      <c r="Q20" s="33"/>
      <c r="R20" s="58"/>
      <c r="S20" s="59"/>
      <c r="T20" s="60"/>
      <c r="U20" s="58"/>
      <c r="V20" s="59"/>
      <c r="W20" s="60"/>
      <c r="X20" s="58"/>
      <c r="Y20" s="61"/>
      <c r="Z20" s="60"/>
      <c r="AA20" s="58"/>
      <c r="AB20" s="62"/>
      <c r="AC20" s="60"/>
      <c r="AD20" s="58"/>
      <c r="AE20" s="62"/>
      <c r="AF20" s="130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</row>
    <row r="21" spans="1:69" s="28" customFormat="1" ht="12" customHeight="1">
      <c r="A21" s="17" t="s">
        <v>49</v>
      </c>
      <c r="B21" s="23"/>
      <c r="C21" s="53" t="s">
        <v>59</v>
      </c>
      <c r="D21" s="54"/>
      <c r="E21" s="55"/>
      <c r="F21" s="53"/>
      <c r="G21" s="54"/>
      <c r="H21" s="55"/>
      <c r="I21" s="53"/>
      <c r="J21" s="54"/>
      <c r="K21" s="55"/>
      <c r="L21" s="53"/>
      <c r="M21" s="54"/>
      <c r="N21" s="55"/>
      <c r="O21" s="31"/>
      <c r="P21" s="32"/>
      <c r="Q21" s="33"/>
      <c r="R21" s="58"/>
      <c r="S21" s="59"/>
      <c r="T21" s="60"/>
      <c r="U21" s="58"/>
      <c r="V21" s="59"/>
      <c r="W21" s="60"/>
      <c r="X21" s="58"/>
      <c r="Y21" s="61"/>
      <c r="Z21" s="60"/>
      <c r="AA21" s="58"/>
      <c r="AB21" s="62"/>
      <c r="AC21" s="60"/>
      <c r="AD21" s="58"/>
      <c r="AE21" s="62"/>
      <c r="AF21" s="130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</row>
    <row r="22" spans="1:69" s="28" customFormat="1" ht="12" customHeight="1" thickBot="1">
      <c r="A22" s="17" t="s">
        <v>50</v>
      </c>
      <c r="B22" s="23"/>
      <c r="C22" s="65" t="s">
        <v>56</v>
      </c>
      <c r="D22" s="66"/>
      <c r="E22" s="67"/>
      <c r="F22" s="65" t="s">
        <v>6</v>
      </c>
      <c r="G22" s="66"/>
      <c r="H22" s="67"/>
      <c r="I22" s="65"/>
      <c r="J22" s="66"/>
      <c r="K22" s="67"/>
      <c r="L22" s="65"/>
      <c r="M22" s="66"/>
      <c r="N22" s="67"/>
      <c r="O22" s="68"/>
      <c r="P22" s="69"/>
      <c r="Q22" s="34"/>
      <c r="R22" s="58"/>
      <c r="S22" s="59"/>
      <c r="T22" s="60"/>
      <c r="U22" s="58"/>
      <c r="V22" s="59"/>
      <c r="W22" s="60"/>
      <c r="X22" s="58"/>
      <c r="Y22" s="61"/>
      <c r="Z22" s="60"/>
      <c r="AA22" s="58"/>
      <c r="AB22" s="58"/>
      <c r="AC22" s="60"/>
      <c r="AD22" s="58"/>
      <c r="AE22" s="58"/>
      <c r="AF22" s="130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</row>
    <row r="23" spans="1:69" s="28" customFormat="1" ht="12" customHeight="1" thickBot="1">
      <c r="A23" s="63"/>
      <c r="B23" s="56"/>
      <c r="C23" s="58"/>
      <c r="D23" s="59"/>
      <c r="E23" s="60"/>
      <c r="F23" s="58"/>
      <c r="G23" s="59"/>
      <c r="H23" s="60"/>
      <c r="I23" s="58"/>
      <c r="J23" s="59"/>
      <c r="K23" s="60"/>
      <c r="L23" s="58"/>
      <c r="M23" s="59"/>
      <c r="N23" s="60"/>
      <c r="O23" s="58"/>
      <c r="P23" s="59"/>
      <c r="Q23" s="60"/>
      <c r="R23" s="58"/>
      <c r="S23" s="59"/>
      <c r="T23" s="60"/>
      <c r="U23" s="58"/>
      <c r="V23" s="59"/>
      <c r="W23" s="60"/>
      <c r="X23" s="58"/>
      <c r="Y23" s="59"/>
      <c r="Z23" s="60"/>
      <c r="AA23" s="58"/>
      <c r="AB23" s="58"/>
      <c r="AC23" s="60"/>
      <c r="AD23" s="58"/>
      <c r="AE23" s="58"/>
      <c r="AF23" s="130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</row>
    <row r="24" spans="1:69" s="28" customFormat="1" ht="10.5" customHeight="1" thickBot="1">
      <c r="A24" s="36"/>
      <c r="B24" s="160" t="s">
        <v>29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6"/>
      <c r="Z24" s="160" t="s">
        <v>7</v>
      </c>
      <c r="AA24" s="161"/>
      <c r="AB24" s="162"/>
      <c r="AC24" s="5"/>
      <c r="AD24" s="160">
        <v>21</v>
      </c>
      <c r="AE24" s="162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</row>
    <row r="25" spans="1:69" s="28" customFormat="1" ht="10.5" customHeight="1" thickBot="1">
      <c r="A25" s="36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50" t="s">
        <v>12</v>
      </c>
      <c r="Z25" s="2"/>
      <c r="AA25" s="2"/>
      <c r="AB25" s="2"/>
      <c r="AC25" s="2"/>
      <c r="AD25" s="2"/>
      <c r="AE25" s="2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</row>
    <row r="26" spans="1:69" s="28" customFormat="1" ht="10.5" customHeight="1" thickBot="1">
      <c r="A26" s="36"/>
      <c r="B26" s="15" t="s">
        <v>31</v>
      </c>
      <c r="C26" s="15"/>
      <c r="D26" s="15"/>
      <c r="E26" s="15"/>
      <c r="F26" s="15"/>
      <c r="G26" s="15"/>
      <c r="H26" s="15"/>
      <c r="I26" s="15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163" t="s">
        <v>11</v>
      </c>
      <c r="V26" s="164"/>
      <c r="W26" s="164"/>
      <c r="X26" s="164"/>
      <c r="Y26" s="164"/>
      <c r="Z26" s="164"/>
      <c r="AA26" s="164"/>
      <c r="AB26" s="164"/>
      <c r="AC26" s="164"/>
      <c r="AD26" s="164"/>
      <c r="AE26" s="165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</row>
    <row r="27" spans="1:69" s="28" customFormat="1" ht="10.5" customHeight="1">
      <c r="A27" s="36"/>
      <c r="B27" s="1"/>
      <c r="C27" s="1"/>
      <c r="D27" s="43" t="s">
        <v>57</v>
      </c>
      <c r="E27" s="48">
        <v>9</v>
      </c>
      <c r="F27" s="48">
        <v>20</v>
      </c>
      <c r="G27" s="48"/>
      <c r="H27" s="13"/>
      <c r="I27" s="13"/>
      <c r="J27" s="74">
        <f>1+AD24/1000</f>
        <v>1.021</v>
      </c>
      <c r="K27" s="43"/>
      <c r="L27" s="5"/>
      <c r="M27" s="5"/>
      <c r="N27" s="5"/>
      <c r="O27" s="52"/>
      <c r="P27" s="5"/>
      <c r="Q27" s="5"/>
      <c r="R27" s="2"/>
      <c r="S27" s="43"/>
      <c r="T27" s="35">
        <v>1</v>
      </c>
      <c r="U27" s="75" t="s">
        <v>8</v>
      </c>
      <c r="V27" s="76" t="str">
        <f>IF(E27+100*F27+10000*G27+1000000*H27+100000000*I27=E28+100*F28+10000*G28+1000000*H28+100000000*I28,"",IF(E27+100*F27+10000*G27+1000000*H27+100000000*I27&gt;E28+100*F28+10000*G28+1000000*H28+100000000*I28,B26,B29))</f>
        <v>Pedro Benatti 97(SHC)00480</v>
      </c>
      <c r="W27" s="77"/>
      <c r="X27" s="77"/>
      <c r="Y27" s="77"/>
      <c r="Z27" s="77"/>
      <c r="AA27" s="77"/>
      <c r="AB27" s="77"/>
      <c r="AC27" s="77"/>
      <c r="AD27" s="77"/>
      <c r="AE27" s="78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</row>
    <row r="28" spans="1:69" s="28" customFormat="1" ht="10.5" customHeight="1" thickBot="1">
      <c r="A28" s="36"/>
      <c r="B28" s="1"/>
      <c r="C28" s="1"/>
      <c r="D28" s="119" t="s">
        <v>46</v>
      </c>
      <c r="E28" s="48">
        <v>21</v>
      </c>
      <c r="F28" s="48">
        <v>22</v>
      </c>
      <c r="G28" s="48"/>
      <c r="H28" s="13"/>
      <c r="I28" s="13"/>
      <c r="J28" s="29"/>
      <c r="K28" s="4"/>
      <c r="L28" s="2"/>
      <c r="M28" s="2"/>
      <c r="N28" s="2"/>
      <c r="O28" s="2"/>
      <c r="P28" s="2"/>
      <c r="Q28" s="2"/>
      <c r="R28" s="2"/>
      <c r="S28" s="43"/>
      <c r="T28" s="35">
        <v>2</v>
      </c>
      <c r="U28" s="79" t="s">
        <v>9</v>
      </c>
      <c r="V28" s="80" t="str">
        <f>IF(E27+100*F27+10000*G27+1000000*H27+100000000*I27=E28+100*F28+10000*G28+1000000*H28+100000000*I28,"",IF(E27+100*F27+10000*G27+1000000*H27+100000000*I27&gt;E28+100*F28+10000*G28+1000000*H28+100000000*I28,B29,B26))</f>
        <v>Rafael Seraphim 95(CFR)00250</v>
      </c>
      <c r="W28" s="81"/>
      <c r="X28" s="80"/>
      <c r="Y28" s="80"/>
      <c r="Z28" s="80"/>
      <c r="AA28" s="81"/>
      <c r="AB28" s="81"/>
      <c r="AC28" s="81"/>
      <c r="AD28" s="81"/>
      <c r="AE28" s="82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</row>
    <row r="29" spans="1:69" s="28" customFormat="1" ht="10.5" customHeight="1">
      <c r="A29" s="36"/>
      <c r="B29" s="15" t="s">
        <v>61</v>
      </c>
      <c r="C29" s="15"/>
      <c r="D29" s="15"/>
      <c r="E29" s="15"/>
      <c r="F29" s="15"/>
      <c r="G29" s="15"/>
      <c r="H29" s="15"/>
      <c r="I29" s="15"/>
      <c r="J29" s="1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83"/>
      <c r="Y29" s="84"/>
      <c r="Z29" s="2"/>
      <c r="AA29" s="2"/>
      <c r="AB29" s="2"/>
      <c r="AC29" s="2"/>
      <c r="AD29" s="2"/>
      <c r="AE29" s="2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</row>
    <row r="30" spans="1:69" s="28" customFormat="1" ht="10.5" customHeight="1" thickBot="1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83"/>
      <c r="Y30" s="84"/>
      <c r="Z30" s="2"/>
      <c r="AA30" s="2"/>
      <c r="AB30" s="2"/>
      <c r="AC30" s="2"/>
      <c r="AD30" s="2"/>
      <c r="AE30" s="2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</row>
    <row r="31" spans="1:69" s="28" customFormat="1" ht="10.5" customHeight="1" thickBot="1">
      <c r="A31" s="36"/>
      <c r="B31" s="160" t="s">
        <v>29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2"/>
      <c r="Y31" s="6"/>
      <c r="Z31" s="160" t="s">
        <v>34</v>
      </c>
      <c r="AA31" s="161"/>
      <c r="AB31" s="162"/>
      <c r="AC31" s="5"/>
      <c r="AD31" s="160">
        <v>36</v>
      </c>
      <c r="AE31" s="162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</row>
    <row r="32" spans="1:69" s="28" customFormat="1" ht="10.5" customHeight="1" thickBot="1">
      <c r="A32" s="36"/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50" t="s">
        <v>12</v>
      </c>
      <c r="Z32" s="2"/>
      <c r="AA32" s="2"/>
      <c r="AB32" s="2"/>
      <c r="AC32" s="2"/>
      <c r="AD32" s="2"/>
      <c r="AE32" s="2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</row>
    <row r="33" spans="1:69" s="28" customFormat="1" ht="10.5" customHeight="1" thickBot="1">
      <c r="A33" s="36"/>
      <c r="B33" s="15" t="s">
        <v>32</v>
      </c>
      <c r="C33" s="15"/>
      <c r="D33" s="15"/>
      <c r="E33" s="15"/>
      <c r="F33" s="15"/>
      <c r="G33" s="15"/>
      <c r="H33" s="15"/>
      <c r="I33" s="15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163" t="s">
        <v>11</v>
      </c>
      <c r="V33" s="164"/>
      <c r="W33" s="164"/>
      <c r="X33" s="164"/>
      <c r="Y33" s="164"/>
      <c r="Z33" s="164"/>
      <c r="AA33" s="164"/>
      <c r="AB33" s="164"/>
      <c r="AC33" s="164"/>
      <c r="AD33" s="164"/>
      <c r="AE33" s="165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</row>
    <row r="34" spans="1:69" s="28" customFormat="1" ht="10.5" customHeight="1">
      <c r="A34" s="36"/>
      <c r="B34" s="1"/>
      <c r="C34" s="1"/>
      <c r="D34" s="43" t="s">
        <v>57</v>
      </c>
      <c r="E34" s="48">
        <v>21</v>
      </c>
      <c r="F34" s="48">
        <v>21</v>
      </c>
      <c r="G34" s="48"/>
      <c r="H34" s="13"/>
      <c r="I34" s="13"/>
      <c r="J34" s="74">
        <f>1+AD31/1000</f>
        <v>1.036</v>
      </c>
      <c r="K34" s="43"/>
      <c r="L34" s="5"/>
      <c r="M34" s="5"/>
      <c r="N34" s="5"/>
      <c r="O34" s="52"/>
      <c r="P34" s="5"/>
      <c r="Q34" s="5"/>
      <c r="R34" s="2"/>
      <c r="S34" s="43"/>
      <c r="T34" s="35">
        <v>1</v>
      </c>
      <c r="U34" s="75" t="s">
        <v>8</v>
      </c>
      <c r="V34" s="76" t="str">
        <f>IF(E34+100*F34+10000*G34+1000000*H34+100000000*I34=E35+100*F35+10000*G35+1000000*H35+100000000*I35,"",IF(E34+100*F34+10000*G34+1000000*H34+100000000*I34&gt;E35+100*F35+10000*G35+1000000*H35+100000000*I35,B33,B36))</f>
        <v>Guilherme Casonato 07(SHC)02188</v>
      </c>
      <c r="W34" s="77"/>
      <c r="X34" s="77"/>
      <c r="Y34" s="77"/>
      <c r="Z34" s="77"/>
      <c r="AA34" s="77"/>
      <c r="AB34" s="77"/>
      <c r="AC34" s="77"/>
      <c r="AD34" s="77"/>
      <c r="AE34" s="78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</row>
    <row r="35" spans="1:69" s="28" customFormat="1" ht="10.5" customHeight="1" thickBot="1">
      <c r="A35" s="36"/>
      <c r="B35" s="1"/>
      <c r="C35" s="1"/>
      <c r="D35" s="119" t="s">
        <v>46</v>
      </c>
      <c r="E35" s="48">
        <v>10</v>
      </c>
      <c r="F35" s="48">
        <v>13</v>
      </c>
      <c r="G35" s="48"/>
      <c r="H35" s="13"/>
      <c r="I35" s="13"/>
      <c r="J35" s="29"/>
      <c r="K35" s="4"/>
      <c r="L35" s="2"/>
      <c r="M35" s="2"/>
      <c r="N35" s="2"/>
      <c r="O35" s="2"/>
      <c r="P35" s="2"/>
      <c r="Q35" s="2"/>
      <c r="R35" s="2"/>
      <c r="S35" s="43"/>
      <c r="T35" s="35">
        <v>2</v>
      </c>
      <c r="U35" s="79" t="s">
        <v>9</v>
      </c>
      <c r="V35" s="80" t="str">
        <f>IF(E34+100*F34+10000*G34+1000000*H34+100000000*I34=E35+100*F35+10000*G35+1000000*H35+100000000*I35,"",IF(E34+100*F34+10000*G34+1000000*H34+100000000*I34&gt;E35+100*F35+10000*G35+1000000*H35+100000000*I35,B36,B33))</f>
        <v>Luiz Felipe Moleiro 08(SHC)02576</v>
      </c>
      <c r="W35" s="81"/>
      <c r="X35" s="80"/>
      <c r="Y35" s="80"/>
      <c r="Z35" s="80"/>
      <c r="AA35" s="81"/>
      <c r="AB35" s="81"/>
      <c r="AC35" s="81"/>
      <c r="AD35" s="81"/>
      <c r="AE35" s="82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</row>
    <row r="36" spans="1:69" s="28" customFormat="1" ht="10.5" customHeight="1">
      <c r="A36" s="36"/>
      <c r="B36" s="15" t="s">
        <v>33</v>
      </c>
      <c r="C36" s="15"/>
      <c r="D36" s="15"/>
      <c r="E36" s="15"/>
      <c r="F36" s="15"/>
      <c r="G36" s="15"/>
      <c r="H36" s="15"/>
      <c r="I36" s="15"/>
      <c r="J36" s="1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83"/>
      <c r="Y36" s="84"/>
      <c r="Z36" s="2"/>
      <c r="AA36" s="2"/>
      <c r="AB36" s="2"/>
      <c r="AC36" s="2"/>
      <c r="AD36" s="2"/>
      <c r="AE36" s="2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1:69" s="28" customFormat="1" ht="10.5" customHeight="1" thickBot="1">
      <c r="A37" s="3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83"/>
      <c r="Y37" s="84"/>
      <c r="Z37" s="2"/>
      <c r="AA37" s="2"/>
      <c r="AB37" s="2"/>
      <c r="AC37" s="2"/>
      <c r="AD37" s="2"/>
      <c r="AE37" s="2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</row>
    <row r="38" spans="1:69" s="28" customFormat="1" ht="10.5" customHeight="1" thickBot="1">
      <c r="A38" s="7"/>
      <c r="B38" s="160" t="s">
        <v>29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2"/>
      <c r="Y38" s="6"/>
      <c r="Z38" s="160" t="s">
        <v>24</v>
      </c>
      <c r="AA38" s="161"/>
      <c r="AB38" s="162"/>
      <c r="AC38" s="5"/>
      <c r="AD38" s="160">
        <v>41</v>
      </c>
      <c r="AE38" s="162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</row>
    <row r="39" spans="1:69" s="28" customFormat="1" ht="10.5" customHeight="1">
      <c r="A39" s="9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50" t="s">
        <v>12</v>
      </c>
      <c r="Z39" s="2"/>
      <c r="AA39" s="2"/>
      <c r="AB39" s="2"/>
      <c r="AC39" s="2"/>
      <c r="AD39" s="2"/>
      <c r="AE39" s="2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</row>
    <row r="40" spans="1:69" s="28" customFormat="1" ht="10.5" customHeight="1">
      <c r="A40" s="42">
        <v>1</v>
      </c>
      <c r="B40" s="15" t="s">
        <v>35</v>
      </c>
      <c r="C40" s="15"/>
      <c r="D40" s="15"/>
      <c r="E40" s="1"/>
      <c r="F40" s="2"/>
      <c r="G40" s="15"/>
      <c r="H40" s="15"/>
      <c r="I40" s="15"/>
      <c r="J40" s="15"/>
      <c r="K40" s="5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</row>
    <row r="41" spans="1:69" s="28" customFormat="1" ht="10.5" customHeight="1">
      <c r="A41" s="9"/>
      <c r="B41" s="2"/>
      <c r="C41" s="1"/>
      <c r="D41" s="43" t="s">
        <v>57</v>
      </c>
      <c r="E41" s="48">
        <v>21</v>
      </c>
      <c r="F41" s="48">
        <v>21</v>
      </c>
      <c r="G41" s="85"/>
      <c r="H41" s="86"/>
      <c r="I41" s="13"/>
      <c r="J41" s="74">
        <f>1+AD38/1000</f>
        <v>1.041</v>
      </c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</row>
    <row r="42" spans="1:69" s="28" customFormat="1" ht="10.5" customHeight="1">
      <c r="A42" s="9"/>
      <c r="B42" s="1"/>
      <c r="C42" s="1"/>
      <c r="D42" s="119" t="s">
        <v>45</v>
      </c>
      <c r="E42" s="48">
        <v>3</v>
      </c>
      <c r="F42" s="48">
        <v>5</v>
      </c>
      <c r="G42" s="85"/>
      <c r="H42" s="86"/>
      <c r="I42" s="13"/>
      <c r="J42" s="87"/>
      <c r="K42" s="49" t="str">
        <f>IF(E41+100*F41+10000*G41+1000000*H41+100000000*I41=E42+100*F42+10000*G42+1000000*H42+100000000*I42,0,IF(E41+100*F41+10000*G41+1000000*H41+100000000*I41&gt;E42+100*F42+10000*G42+1000000*H42+100000000*I42,B40,B43))</f>
        <v>Felipe Piovezanni 10(SHC)02578</v>
      </c>
      <c r="L42" s="15"/>
      <c r="M42" s="15"/>
      <c r="N42" s="15"/>
      <c r="O42" s="15"/>
      <c r="P42" s="15"/>
      <c r="Q42" s="15"/>
      <c r="R42" s="1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</row>
    <row r="43" spans="1:69" s="28" customFormat="1" ht="10.5" customHeight="1">
      <c r="A43" s="9"/>
      <c r="B43" s="15" t="s">
        <v>16</v>
      </c>
      <c r="C43" s="15"/>
      <c r="D43" s="88"/>
      <c r="E43" s="89"/>
      <c r="F43" s="89"/>
      <c r="G43" s="89"/>
      <c r="H43" s="89"/>
      <c r="I43" s="89"/>
      <c r="J43" s="90"/>
      <c r="K43" s="51"/>
      <c r="L43" s="1"/>
      <c r="M43" s="1"/>
      <c r="N43" s="73"/>
      <c r="O43" s="73"/>
      <c r="P43" s="5"/>
      <c r="Q43" s="5"/>
      <c r="R43" s="74">
        <f>5+AD38/1000</f>
        <v>5.041</v>
      </c>
      <c r="S43" s="1"/>
      <c r="T43" s="1"/>
      <c r="U43" s="1"/>
      <c r="V43" s="1"/>
      <c r="W43" s="1"/>
      <c r="X43" s="1"/>
      <c r="Y43" s="2"/>
      <c r="Z43" s="2"/>
      <c r="AA43" s="2"/>
      <c r="AB43" s="2"/>
      <c r="AC43" s="2"/>
      <c r="AD43" s="2"/>
      <c r="AE43" s="2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</row>
    <row r="44" spans="1:69" s="28" customFormat="1" ht="10.5" customHeight="1">
      <c r="A44" s="9"/>
      <c r="B44" s="1"/>
      <c r="C44" s="1"/>
      <c r="D44" s="14"/>
      <c r="E44" s="91"/>
      <c r="F44" s="91"/>
      <c r="G44" s="13"/>
      <c r="H44" s="13"/>
      <c r="I44" s="13"/>
      <c r="J44" s="92"/>
      <c r="K44" s="12"/>
      <c r="L44" s="1"/>
      <c r="M44" s="43" t="s">
        <v>57</v>
      </c>
      <c r="N44" s="48">
        <v>21</v>
      </c>
      <c r="O44" s="48">
        <v>21</v>
      </c>
      <c r="P44" s="85"/>
      <c r="Q44" s="86"/>
      <c r="R44" s="93"/>
      <c r="S44" s="49" t="str">
        <f>IF(N44+100*O44+10000*P44+1000000*Q44+100000000*R44=N45+100*O45+10000*P45+1000000*Q45+100000000*R45,0,IF(N44+100*O44+10000*P44+1000000*Q44+100000000*R44&gt;N45+100*O45+10000*P45+1000000*Q45+100000000*R45,K42,K47))</f>
        <v>Felipe Piovezanni 10(SHC)02578</v>
      </c>
      <c r="T44" s="15"/>
      <c r="U44" s="15"/>
      <c r="V44" s="15"/>
      <c r="W44" s="15"/>
      <c r="X44" s="15"/>
      <c r="Y44" s="15"/>
      <c r="Z44" s="2"/>
      <c r="AA44" s="2"/>
      <c r="AB44" s="2"/>
      <c r="AC44" s="2"/>
      <c r="AD44" s="2"/>
      <c r="AE44" s="2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</row>
    <row r="45" spans="1:69" s="28" customFormat="1" ht="10.5" customHeight="1">
      <c r="A45" s="44"/>
      <c r="B45" s="15" t="s">
        <v>17</v>
      </c>
      <c r="C45" s="15"/>
      <c r="D45" s="88"/>
      <c r="E45" s="91"/>
      <c r="F45" s="91"/>
      <c r="G45" s="89"/>
      <c r="H45" s="89"/>
      <c r="I45" s="89"/>
      <c r="J45" s="94"/>
      <c r="K45" s="51"/>
      <c r="L45" s="1"/>
      <c r="M45" s="119" t="s">
        <v>47</v>
      </c>
      <c r="N45" s="48">
        <v>16</v>
      </c>
      <c r="O45" s="48">
        <v>3</v>
      </c>
      <c r="P45" s="85"/>
      <c r="Q45" s="86"/>
      <c r="R45" s="93"/>
      <c r="S45" s="2"/>
      <c r="T45" s="1"/>
      <c r="U45" s="5"/>
      <c r="V45" s="5"/>
      <c r="W45" s="5"/>
      <c r="X45" s="5"/>
      <c r="Y45" s="74">
        <f>7+AD38/1000</f>
        <v>7.041</v>
      </c>
      <c r="Z45" s="2"/>
      <c r="AA45" s="2"/>
      <c r="AB45" s="2"/>
      <c r="AC45" s="2"/>
      <c r="AD45" s="2"/>
      <c r="AE45" s="2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</row>
    <row r="46" spans="1:69" s="28" customFormat="1" ht="10.5" customHeight="1">
      <c r="A46" s="44"/>
      <c r="B46" s="2"/>
      <c r="C46" s="1"/>
      <c r="D46" s="43" t="s">
        <v>57</v>
      </c>
      <c r="E46" s="48">
        <v>17</v>
      </c>
      <c r="F46" s="48">
        <v>21</v>
      </c>
      <c r="G46" s="85">
        <v>21</v>
      </c>
      <c r="H46" s="86"/>
      <c r="I46" s="13"/>
      <c r="J46" s="74">
        <f>2+AD38/1000</f>
        <v>2.041</v>
      </c>
      <c r="K46" s="12"/>
      <c r="L46" s="1"/>
      <c r="M46" s="14"/>
      <c r="N46" s="73"/>
      <c r="O46" s="73"/>
      <c r="P46" s="73"/>
      <c r="Q46" s="73"/>
      <c r="R46" s="95"/>
      <c r="S46" s="1"/>
      <c r="T46" s="1"/>
      <c r="U46" s="73"/>
      <c r="V46" s="73"/>
      <c r="W46" s="73"/>
      <c r="X46" s="73"/>
      <c r="Y46" s="96"/>
      <c r="Z46" s="2"/>
      <c r="AA46" s="2"/>
      <c r="AB46" s="2"/>
      <c r="AC46" s="2"/>
      <c r="AD46" s="2"/>
      <c r="AE46" s="2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</row>
    <row r="47" spans="1:69" s="28" customFormat="1" ht="10.5" customHeight="1">
      <c r="A47" s="9"/>
      <c r="B47" s="1"/>
      <c r="C47" s="1"/>
      <c r="D47" s="119" t="s">
        <v>45</v>
      </c>
      <c r="E47" s="48">
        <v>21</v>
      </c>
      <c r="F47" s="48">
        <v>15</v>
      </c>
      <c r="G47" s="85">
        <v>10</v>
      </c>
      <c r="H47" s="86"/>
      <c r="I47" s="13"/>
      <c r="J47" s="95"/>
      <c r="K47" s="49" t="str">
        <f>IF(E46+100*F46+10000*G46+1000000*H46+100000000*I46=E47+100*F47+10000*G47+1000000*H47+100000000*I47,0,IF(E46+100*F46+10000*G46+1000000*H46+100000000*I46&gt;E47+100*F47+10000*G47+1000000*H47+100000000*I47,B45,B48))</f>
        <v>Gabriel Bertanha 10(FON)02490</v>
      </c>
      <c r="L47" s="15"/>
      <c r="M47" s="88"/>
      <c r="N47" s="97"/>
      <c r="O47" s="97"/>
      <c r="P47" s="97"/>
      <c r="Q47" s="97"/>
      <c r="R47" s="90"/>
      <c r="S47" s="2"/>
      <c r="T47" s="1"/>
      <c r="U47" s="5"/>
      <c r="V47" s="5"/>
      <c r="W47" s="5"/>
      <c r="X47" s="5"/>
      <c r="Y47" s="96"/>
      <c r="Z47" s="2"/>
      <c r="AA47" s="2"/>
      <c r="AB47" s="2"/>
      <c r="AC47" s="2"/>
      <c r="AD47" s="2"/>
      <c r="AE47" s="2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</row>
    <row r="48" spans="1:69" s="28" customFormat="1" ht="10.5" customHeight="1">
      <c r="A48" s="9"/>
      <c r="B48" s="15" t="s">
        <v>36</v>
      </c>
      <c r="C48" s="15"/>
      <c r="D48" s="88"/>
      <c r="E48" s="89"/>
      <c r="F48" s="89"/>
      <c r="G48" s="89"/>
      <c r="H48" s="89"/>
      <c r="I48" s="89"/>
      <c r="J48" s="90"/>
      <c r="K48" s="51"/>
      <c r="L48" s="1"/>
      <c r="M48" s="43"/>
      <c r="N48" s="5"/>
      <c r="O48" s="73"/>
      <c r="P48" s="5"/>
      <c r="Q48" s="5"/>
      <c r="R48" s="98"/>
      <c r="S48" s="2"/>
      <c r="T48" s="1"/>
      <c r="U48" s="5"/>
      <c r="V48" s="5"/>
      <c r="W48" s="73"/>
      <c r="X48" s="73"/>
      <c r="Y48" s="96"/>
      <c r="Z48" s="99" t="s">
        <v>8</v>
      </c>
      <c r="AA48" s="1"/>
      <c r="AB48" s="2"/>
      <c r="AC48" s="2"/>
      <c r="AD48" s="2"/>
      <c r="AE48" s="2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</row>
    <row r="49" spans="1:69" s="28" customFormat="1" ht="10.5" customHeight="1">
      <c r="A49" s="9"/>
      <c r="B49" s="1"/>
      <c r="C49" s="1"/>
      <c r="D49" s="14"/>
      <c r="E49" s="91"/>
      <c r="F49" s="91"/>
      <c r="G49" s="13"/>
      <c r="H49" s="13"/>
      <c r="I49" s="13"/>
      <c r="J49" s="52"/>
      <c r="K49" s="4"/>
      <c r="L49" s="1"/>
      <c r="M49" s="43"/>
      <c r="N49" s="5"/>
      <c r="O49" s="73"/>
      <c r="P49" s="5"/>
      <c r="Q49" s="5"/>
      <c r="R49" s="98"/>
      <c r="S49" s="2"/>
      <c r="T49" s="43" t="s">
        <v>57</v>
      </c>
      <c r="U49" s="48">
        <v>11</v>
      </c>
      <c r="V49" s="48">
        <v>15</v>
      </c>
      <c r="W49" s="85"/>
      <c r="X49" s="86"/>
      <c r="Y49" s="100"/>
      <c r="Z49" s="49" t="str">
        <f>IF(U49+100*V49+10000*W49+1000000*X49+100000000*Y49=U50+100*V50+10000*W50+1000000*X50+100000000*Y50,0,IF(U49+100*V49+10000*W49+1000000*X49+100000000*Y49&gt;U50+100*V50+10000*W50+1000000*X50+100000000*Y50,S44,S54))</f>
        <v>Davi Fraga 10(FON)02489</v>
      </c>
      <c r="AA49" s="49"/>
      <c r="AB49" s="15"/>
      <c r="AC49" s="15"/>
      <c r="AD49" s="15"/>
      <c r="AE49" s="15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</row>
    <row r="50" spans="1:69" s="28" customFormat="1" ht="10.5" customHeight="1">
      <c r="A50" s="1"/>
      <c r="B50" s="15" t="s">
        <v>15</v>
      </c>
      <c r="C50" s="15"/>
      <c r="D50" s="88"/>
      <c r="E50" s="89"/>
      <c r="F50" s="89"/>
      <c r="G50" s="89"/>
      <c r="H50" s="89"/>
      <c r="I50" s="89"/>
      <c r="J50" s="101"/>
      <c r="K50" s="51"/>
      <c r="L50" s="1"/>
      <c r="M50" s="43"/>
      <c r="N50" s="5"/>
      <c r="O50" s="73"/>
      <c r="P50" s="5"/>
      <c r="Q50" s="5"/>
      <c r="R50" s="52"/>
      <c r="S50" s="2"/>
      <c r="T50" s="119" t="s">
        <v>50</v>
      </c>
      <c r="U50" s="48">
        <v>21</v>
      </c>
      <c r="V50" s="48">
        <v>21</v>
      </c>
      <c r="W50" s="85"/>
      <c r="X50" s="86"/>
      <c r="Y50" s="100"/>
      <c r="Z50" s="102"/>
      <c r="AA50" s="2"/>
      <c r="AB50" s="2"/>
      <c r="AC50" s="2"/>
      <c r="AD50" s="2"/>
      <c r="AE50" s="2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</row>
    <row r="51" spans="1:69" s="28" customFormat="1" ht="10.5" customHeight="1">
      <c r="A51" s="9"/>
      <c r="B51" s="1"/>
      <c r="C51" s="1"/>
      <c r="D51" s="43" t="s">
        <v>57</v>
      </c>
      <c r="E51" s="103">
        <v>26</v>
      </c>
      <c r="F51" s="103">
        <v>20</v>
      </c>
      <c r="G51" s="85">
        <v>11</v>
      </c>
      <c r="H51" s="86"/>
      <c r="I51" s="13"/>
      <c r="J51" s="74">
        <f>3+AD38/1000</f>
        <v>3.041</v>
      </c>
      <c r="K51" s="4"/>
      <c r="L51" s="1"/>
      <c r="M51" s="43"/>
      <c r="N51" s="5"/>
      <c r="O51" s="73"/>
      <c r="P51" s="5"/>
      <c r="Q51" s="5"/>
      <c r="R51" s="98"/>
      <c r="S51" s="2"/>
      <c r="T51" s="1"/>
      <c r="U51" s="2"/>
      <c r="V51" s="2"/>
      <c r="W51" s="2"/>
      <c r="X51" s="2"/>
      <c r="Y51" s="29"/>
      <c r="Z51" s="104" t="s">
        <v>9</v>
      </c>
      <c r="AA51" s="2"/>
      <c r="AB51" s="2"/>
      <c r="AC51" s="2"/>
      <c r="AD51" s="2"/>
      <c r="AE51" s="2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</row>
    <row r="52" spans="1:69" s="28" customFormat="1" ht="10.5" customHeight="1">
      <c r="A52" s="9"/>
      <c r="B52" s="2"/>
      <c r="C52" s="1"/>
      <c r="D52" s="119" t="s">
        <v>45</v>
      </c>
      <c r="E52" s="48">
        <v>24</v>
      </c>
      <c r="F52" s="48">
        <v>22</v>
      </c>
      <c r="G52" s="85">
        <v>21</v>
      </c>
      <c r="H52" s="86"/>
      <c r="I52" s="13"/>
      <c r="J52" s="95"/>
      <c r="K52" s="49" t="str">
        <f>IF(E51+100*F51+10000*G51+1000000*H51+100000000*I51=E52+100*F52+10000*G52+1000000*H52+100000000*I52,0,IF(E51+100*F51+10000*G51+1000000*H51+100000000*I51&gt;E52+100*F52+10000*G52+1000000*H52+100000000*I52,B50,B53))</f>
        <v>Felipe Fardelône 09(SHC)02577</v>
      </c>
      <c r="L52" s="15"/>
      <c r="M52" s="88"/>
      <c r="N52" s="97"/>
      <c r="O52" s="97"/>
      <c r="P52" s="97"/>
      <c r="Q52" s="97"/>
      <c r="R52" s="105"/>
      <c r="S52" s="2"/>
      <c r="T52" s="1"/>
      <c r="U52" s="2"/>
      <c r="V52" s="2"/>
      <c r="W52" s="2"/>
      <c r="X52" s="2"/>
      <c r="Y52" s="29"/>
      <c r="Z52" s="49" t="str">
        <f>IF(U49+100*V49+10000*W49+1000000*X49+100000000*Y49=U50+100*V50+10000*W50+1000000*X50+100000000*Y50,0,IF(U49+100*V49+10000*W49+1000000*X49+100000000*Y49&gt;U50+100*V50+10000*W50+1000000*X50+100000000*Y50,S54,S44))</f>
        <v>Felipe Piovezanni 10(SHC)02578</v>
      </c>
      <c r="AA52" s="49"/>
      <c r="AB52" s="15"/>
      <c r="AC52" s="15"/>
      <c r="AD52" s="15"/>
      <c r="AE52" s="15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</row>
    <row r="53" spans="1:69" s="28" customFormat="1" ht="10.5" customHeight="1">
      <c r="A53" s="44"/>
      <c r="B53" s="15" t="s">
        <v>37</v>
      </c>
      <c r="C53" s="15"/>
      <c r="D53" s="88"/>
      <c r="E53" s="89"/>
      <c r="F53" s="89"/>
      <c r="G53" s="89"/>
      <c r="H53" s="89"/>
      <c r="I53" s="89"/>
      <c r="J53" s="90"/>
      <c r="K53" s="51"/>
      <c r="L53" s="1"/>
      <c r="M53" s="14"/>
      <c r="N53" s="73"/>
      <c r="O53" s="73"/>
      <c r="P53" s="5"/>
      <c r="Q53" s="5"/>
      <c r="R53" s="74">
        <f>6+AD38/1000</f>
        <v>6.041</v>
      </c>
      <c r="S53" s="2"/>
      <c r="T53" s="1"/>
      <c r="U53" s="2"/>
      <c r="V53" s="2"/>
      <c r="W53" s="2"/>
      <c r="X53" s="2"/>
      <c r="Y53" s="106"/>
      <c r="Z53" s="2"/>
      <c r="AA53" s="1"/>
      <c r="AB53" s="2"/>
      <c r="AC53" s="2"/>
      <c r="AD53" s="2"/>
      <c r="AE53" s="2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</row>
    <row r="54" spans="1:69" s="28" customFormat="1" ht="10.5" customHeight="1">
      <c r="A54" s="9"/>
      <c r="B54" s="1"/>
      <c r="C54" s="1"/>
      <c r="D54" s="14"/>
      <c r="E54" s="91"/>
      <c r="F54" s="91"/>
      <c r="G54" s="13"/>
      <c r="H54" s="13"/>
      <c r="I54" s="13"/>
      <c r="J54" s="92"/>
      <c r="K54" s="4"/>
      <c r="L54" s="1"/>
      <c r="M54" s="43" t="s">
        <v>57</v>
      </c>
      <c r="N54" s="48">
        <v>9</v>
      </c>
      <c r="O54" s="48">
        <v>9</v>
      </c>
      <c r="P54" s="85"/>
      <c r="Q54" s="86"/>
      <c r="R54" s="100"/>
      <c r="S54" s="49" t="str">
        <f>IF(N54+100*O54+10000*P54+1000000*Q54+100000000*R54=N55+100*O55+10000*P55+1000000*Q55+100000000*R55,0,IF(N54+100*O54+10000*P54+1000000*Q54+100000000*R54&gt;N55+100*O55+10000*P55+1000000*Q55+100000000*R55,K52,K57))</f>
        <v>Davi Fraga 10(FON)02489</v>
      </c>
      <c r="T54" s="15"/>
      <c r="U54" s="15"/>
      <c r="V54" s="15"/>
      <c r="W54" s="15"/>
      <c r="X54" s="15"/>
      <c r="Y54" s="16"/>
      <c r="Z54" s="2"/>
      <c r="AA54" s="2"/>
      <c r="AB54" s="2"/>
      <c r="AC54" s="2"/>
      <c r="AD54" s="2"/>
      <c r="AE54" s="2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</row>
    <row r="55" spans="1:69" s="28" customFormat="1" ht="10.5" customHeight="1">
      <c r="A55" s="44"/>
      <c r="B55" s="15" t="s">
        <v>25</v>
      </c>
      <c r="C55" s="15"/>
      <c r="D55" s="88"/>
      <c r="E55" s="89"/>
      <c r="F55" s="89"/>
      <c r="G55" s="89"/>
      <c r="H55" s="89"/>
      <c r="I55" s="89"/>
      <c r="J55" s="105"/>
      <c r="K55" s="51"/>
      <c r="L55" s="1"/>
      <c r="M55" s="119" t="s">
        <v>47</v>
      </c>
      <c r="N55" s="48">
        <v>21</v>
      </c>
      <c r="O55" s="48">
        <v>21</v>
      </c>
      <c r="P55" s="85"/>
      <c r="Q55" s="86"/>
      <c r="R55" s="100"/>
      <c r="S55" s="2"/>
      <c r="T55" s="1"/>
      <c r="U55" s="2"/>
      <c r="V55" s="2"/>
      <c r="W55" s="2"/>
      <c r="X55" s="2"/>
      <c r="Y55" s="2"/>
      <c r="Z55" s="107"/>
      <c r="AA55" s="2"/>
      <c r="AB55" s="2"/>
      <c r="AC55" s="2"/>
      <c r="AD55" s="2"/>
      <c r="AE55" s="2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</row>
    <row r="56" spans="1:69" s="28" customFormat="1" ht="10.5" customHeight="1">
      <c r="A56" s="9"/>
      <c r="B56" s="1"/>
      <c r="C56" s="1"/>
      <c r="D56" s="43" t="s">
        <v>57</v>
      </c>
      <c r="E56" s="103">
        <v>21</v>
      </c>
      <c r="F56" s="103">
        <v>21</v>
      </c>
      <c r="G56" s="85"/>
      <c r="H56" s="86"/>
      <c r="I56" s="13"/>
      <c r="J56" s="74">
        <f>4+AD38/1000</f>
        <v>4.041</v>
      </c>
      <c r="K56" s="12"/>
      <c r="L56" s="1"/>
      <c r="M56" s="108"/>
      <c r="N56" s="1"/>
      <c r="O56" s="1"/>
      <c r="P56" s="2"/>
      <c r="Q56" s="2"/>
      <c r="R56" s="29"/>
      <c r="S56" s="2"/>
      <c r="T56" s="1"/>
      <c r="U56" s="2"/>
      <c r="V56" s="2"/>
      <c r="W56" s="2"/>
      <c r="X56" s="2"/>
      <c r="Y56" s="107" t="s">
        <v>10</v>
      </c>
      <c r="Z56" s="49" t="str">
        <f>IF(N44+100*O44+10000*P44+1000000*Q44+100000000*R44=N45+100*O45+10000*P45+1000000*Q45+100000000*R45,0,IF(N44+100*O44+10000*P44+1000000*Q44+100000000*R44&gt;N45+100*O45+10000*P45+1000000*Q45+100000000*R45,K47,K42))</f>
        <v>Gabriel Bertanha 10(FON)02490</v>
      </c>
      <c r="AA56" s="15"/>
      <c r="AB56" s="15"/>
      <c r="AC56" s="15"/>
      <c r="AD56" s="15"/>
      <c r="AE56" s="15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</row>
    <row r="57" spans="1:69" s="28" customFormat="1" ht="10.5" customHeight="1">
      <c r="A57" s="9"/>
      <c r="B57" s="1"/>
      <c r="C57" s="1"/>
      <c r="D57" s="119" t="s">
        <v>45</v>
      </c>
      <c r="E57" s="48">
        <v>7</v>
      </c>
      <c r="F57" s="48">
        <v>9</v>
      </c>
      <c r="G57" s="85"/>
      <c r="H57" s="86"/>
      <c r="I57" s="13"/>
      <c r="J57" s="96"/>
      <c r="K57" s="49" t="str">
        <f>IF(E56+100*F56+10000*G56+1000000*H56+100000000*I56=E57+100*F57+10000*G57+1000000*H57+100000000*I57,0,IF(E56+100*F56+10000*G56+1000000*H56+100000000*I56&gt;E57+100*F57+10000*G57+1000000*H57+100000000*I57,B55,B58))</f>
        <v>Davi Fraga 10(FON)02489</v>
      </c>
      <c r="L57" s="15"/>
      <c r="M57" s="15"/>
      <c r="N57" s="15"/>
      <c r="O57" s="15"/>
      <c r="P57" s="15"/>
      <c r="Q57" s="15"/>
      <c r="R57" s="16"/>
      <c r="S57" s="2"/>
      <c r="T57" s="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</row>
    <row r="58" spans="1:69" s="28" customFormat="1" ht="10.5" customHeight="1">
      <c r="A58" s="42">
        <v>2</v>
      </c>
      <c r="B58" s="15" t="s">
        <v>38</v>
      </c>
      <c r="C58" s="15"/>
      <c r="D58" s="15"/>
      <c r="E58" s="97"/>
      <c r="F58" s="97"/>
      <c r="G58" s="97"/>
      <c r="H58" s="97"/>
      <c r="I58" s="97"/>
      <c r="J58" s="109"/>
      <c r="K58" s="51"/>
      <c r="L58" s="1"/>
      <c r="M58" s="1"/>
      <c r="N58" s="2"/>
      <c r="O58" s="2"/>
      <c r="P58" s="2"/>
      <c r="Q58" s="2"/>
      <c r="R58" s="2"/>
      <c r="S58" s="2"/>
      <c r="T58" s="1"/>
      <c r="U58" s="2"/>
      <c r="V58" s="2"/>
      <c r="W58" s="2"/>
      <c r="X58" s="2"/>
      <c r="Y58" s="107" t="s">
        <v>10</v>
      </c>
      <c r="Z58" s="49" t="str">
        <f>IF(N54+100*O54+10000*P54+1000000*Q54+100000000*R54=N55+100*O55+10000*P55+1000000*Q55+100000000*R55,0,IF(N54+100*O54+10000*P54+1000000*Q54+100000000*R54&gt;N55+100*O55+10000*P55+1000000*Q55+100000000*R55,K57,K52))</f>
        <v>Felipe Fardelône 09(SHC)02577</v>
      </c>
      <c r="AA58" s="49"/>
      <c r="AB58" s="15"/>
      <c r="AC58" s="15"/>
      <c r="AD58" s="15"/>
      <c r="AE58" s="15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</row>
    <row r="59" spans="1:69" s="28" customFormat="1" ht="10.5" customHeight="1" thickBot="1">
      <c r="A59" s="9"/>
      <c r="B59" s="1"/>
      <c r="C59" s="1"/>
      <c r="D59" s="1"/>
      <c r="E59" s="1"/>
      <c r="F59" s="1"/>
      <c r="G59" s="2"/>
      <c r="H59" s="2"/>
      <c r="I59" s="2"/>
      <c r="J59" s="110"/>
      <c r="K59" s="4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"/>
      <c r="AA59" s="1"/>
      <c r="AB59" s="1"/>
      <c r="AC59" s="1"/>
      <c r="AD59" s="1"/>
      <c r="AE59" s="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</row>
    <row r="60" spans="1:69" s="28" customFormat="1" ht="10.5" customHeight="1" thickBot="1">
      <c r="A60" s="36"/>
      <c r="B60" s="160" t="s">
        <v>29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2"/>
      <c r="Y60" s="6"/>
      <c r="Z60" s="160" t="s">
        <v>23</v>
      </c>
      <c r="AA60" s="161"/>
      <c r="AB60" s="162"/>
      <c r="AC60" s="5"/>
      <c r="AD60" s="160">
        <v>42</v>
      </c>
      <c r="AE60" s="162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</row>
    <row r="61" spans="1:69" s="28" customFormat="1" ht="10.5" customHeight="1" thickBot="1">
      <c r="A61" s="36"/>
      <c r="B61" s="2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50" t="s">
        <v>12</v>
      </c>
      <c r="Z61" s="2"/>
      <c r="AA61" s="2"/>
      <c r="AB61" s="2"/>
      <c r="AC61" s="2"/>
      <c r="AD61" s="2"/>
      <c r="AE61" s="2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</row>
    <row r="62" spans="1:69" s="28" customFormat="1" ht="10.5" customHeight="1" thickBot="1">
      <c r="A62" s="36"/>
      <c r="B62" s="15" t="s">
        <v>39</v>
      </c>
      <c r="C62" s="15"/>
      <c r="D62" s="15"/>
      <c r="E62" s="15"/>
      <c r="F62" s="15"/>
      <c r="G62" s="15"/>
      <c r="H62" s="15"/>
      <c r="I62" s="15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163" t="s">
        <v>11</v>
      </c>
      <c r="V62" s="164"/>
      <c r="W62" s="164"/>
      <c r="X62" s="164"/>
      <c r="Y62" s="164"/>
      <c r="Z62" s="164"/>
      <c r="AA62" s="164"/>
      <c r="AB62" s="164"/>
      <c r="AC62" s="164"/>
      <c r="AD62" s="164"/>
      <c r="AE62" s="165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</row>
    <row r="63" spans="1:69" s="28" customFormat="1" ht="10.5" customHeight="1">
      <c r="A63" s="36"/>
      <c r="B63" s="1"/>
      <c r="C63" s="1"/>
      <c r="D63" s="43" t="s">
        <v>57</v>
      </c>
      <c r="E63" s="48">
        <v>10</v>
      </c>
      <c r="F63" s="48">
        <v>11</v>
      </c>
      <c r="G63" s="48"/>
      <c r="H63" s="13"/>
      <c r="I63" s="13"/>
      <c r="J63" s="74">
        <f>1+AD60/1000</f>
        <v>1.042</v>
      </c>
      <c r="K63" s="43"/>
      <c r="L63" s="5"/>
      <c r="M63" s="5"/>
      <c r="N63" s="5"/>
      <c r="O63" s="52"/>
      <c r="P63" s="5"/>
      <c r="Q63" s="5"/>
      <c r="R63" s="2"/>
      <c r="S63" s="43"/>
      <c r="T63" s="35">
        <v>1</v>
      </c>
      <c r="U63" s="75" t="s">
        <v>8</v>
      </c>
      <c r="V63" s="76" t="str">
        <f>IF(E63+100*F63+10000*G63+1000000*H63+100000000*I63=E64+100*F64+10000*G64+1000000*H64+100000000*I64,"",IF(E63+100*F63+10000*G63+1000000*H63+100000000*I63&gt;E64+100*F64+10000*G64+1000000*H64+100000000*I64,B62,B65))</f>
        <v>Anna Olivatto 10(FON)02532</v>
      </c>
      <c r="W63" s="77"/>
      <c r="X63" s="77"/>
      <c r="Y63" s="77"/>
      <c r="Z63" s="77"/>
      <c r="AA63" s="77"/>
      <c r="AB63" s="77"/>
      <c r="AC63" s="77"/>
      <c r="AD63" s="77"/>
      <c r="AE63" s="78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</row>
    <row r="64" spans="1:69" s="28" customFormat="1" ht="10.5" customHeight="1" thickBot="1">
      <c r="A64" s="36"/>
      <c r="B64" s="1"/>
      <c r="C64" s="1"/>
      <c r="D64" s="119" t="s">
        <v>49</v>
      </c>
      <c r="E64" s="48">
        <v>21</v>
      </c>
      <c r="F64" s="48">
        <v>21</v>
      </c>
      <c r="G64" s="48"/>
      <c r="H64" s="13"/>
      <c r="I64" s="13"/>
      <c r="J64" s="29"/>
      <c r="K64" s="4"/>
      <c r="L64" s="2"/>
      <c r="M64" s="2"/>
      <c r="N64" s="2"/>
      <c r="O64" s="2"/>
      <c r="P64" s="2"/>
      <c r="Q64" s="2"/>
      <c r="R64" s="2"/>
      <c r="S64" s="43"/>
      <c r="T64" s="35">
        <v>2</v>
      </c>
      <c r="U64" s="79" t="s">
        <v>9</v>
      </c>
      <c r="V64" s="80" t="str">
        <f>IF(E63+100*F63+10000*G63+1000000*H63+100000000*I63=E64+100*F64+10000*G64+1000000*H64+100000000*I64,"",IF(E63+100*F63+10000*G63+1000000*H63+100000000*I63&gt;E64+100*F64+10000*G64+1000000*H64+100000000*I64,B65,B62))</f>
        <v>Ana Luiza Poubel 10(SHC)02531</v>
      </c>
      <c r="W64" s="81"/>
      <c r="X64" s="80"/>
      <c r="Y64" s="80"/>
      <c r="Z64" s="80"/>
      <c r="AA64" s="81"/>
      <c r="AB64" s="81"/>
      <c r="AC64" s="81"/>
      <c r="AD64" s="81"/>
      <c r="AE64" s="82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</row>
    <row r="65" spans="1:69" s="28" customFormat="1" ht="10.5" customHeight="1">
      <c r="A65" s="36"/>
      <c r="B65" s="15" t="s">
        <v>22</v>
      </c>
      <c r="C65" s="15"/>
      <c r="D65" s="15"/>
      <c r="E65" s="15"/>
      <c r="F65" s="15"/>
      <c r="G65" s="15"/>
      <c r="H65" s="15"/>
      <c r="I65" s="15"/>
      <c r="J65" s="1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83"/>
      <c r="Y65" s="84"/>
      <c r="Z65" s="2"/>
      <c r="AA65" s="2"/>
      <c r="AB65" s="2"/>
      <c r="AC65" s="2"/>
      <c r="AD65" s="2"/>
      <c r="AE65" s="2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</row>
    <row r="66" spans="1:69" s="28" customFormat="1" ht="10.5" customHeight="1" thickBot="1">
      <c r="A66" s="3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83"/>
      <c r="Y66" s="84"/>
      <c r="Z66" s="2"/>
      <c r="AA66" s="2"/>
      <c r="AB66" s="2"/>
      <c r="AC66" s="2"/>
      <c r="AD66" s="2"/>
      <c r="AE66" s="2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</row>
    <row r="67" spans="1:69" s="1" customFormat="1" ht="10.5" customHeight="1" thickBot="1">
      <c r="A67" s="8"/>
      <c r="B67" s="160" t="s">
        <v>29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2"/>
      <c r="Y67" s="6"/>
      <c r="Z67" s="160" t="s">
        <v>21</v>
      </c>
      <c r="AA67" s="161"/>
      <c r="AB67" s="162"/>
      <c r="AC67" s="5"/>
      <c r="AD67" s="160">
        <v>46</v>
      </c>
      <c r="AE67" s="162"/>
      <c r="AF67" s="132"/>
      <c r="AG67" s="133"/>
      <c r="AH67" s="133"/>
      <c r="AI67" s="133"/>
      <c r="AJ67" s="132"/>
      <c r="AK67" s="134" t="str">
        <f>B67</f>
        <v>V TORNEIO REGIONAL - 4a REGIÃO - Sociedade Hípica de Campinas 2023</v>
      </c>
      <c r="AL67" s="135"/>
      <c r="AM67" s="135"/>
      <c r="AN67" s="136">
        <v>0</v>
      </c>
      <c r="AO67" s="135"/>
      <c r="AP67" s="135"/>
      <c r="AQ67" s="135"/>
      <c r="AR67" s="135"/>
      <c r="AS67" s="135"/>
      <c r="AT67" s="133"/>
      <c r="AU67" s="133"/>
      <c r="AV67" s="133"/>
      <c r="AW67" s="133"/>
      <c r="AX67" s="133"/>
      <c r="AY67" s="133"/>
      <c r="AZ67" s="133"/>
      <c r="BA67" s="133"/>
      <c r="BB67" s="133">
        <f>AD67-0.2</f>
        <v>45.8</v>
      </c>
      <c r="BC67" s="133" t="str">
        <f>B69</f>
        <v>Matheus Missola 12(FON)02495</v>
      </c>
      <c r="BD67" s="137">
        <f>IF((E70&gt;E71),1,IF(E71&gt;E70,-1,0))+IF((F70&gt;F71),1,IF(F71&gt;F70,-1,0))+IF((G70&gt;G71),1,IF(G71&gt;G70,-1,0))+IF((H70&gt;H71),1,IF(H71&gt;H70,-1,0))+IF((I70&gt;I71),1,IF(I71&gt;I70,-1,0))+IF((P71&gt;P70),1,IF(P70&gt;P71,-1,0))+IF((Q71&gt;Q70),1,IF(Q70&gt;Q71,-1,0))+IF((R71&gt;R70),1,IF(R70&gt;R71,-1,0))+IF((S71&gt;S70),1,IF(S70&gt;S71,-1,0))+IF((T71&gt;T70),1,IF(T70&gt;T71,-1,0))</f>
        <v>-3</v>
      </c>
      <c r="BE67" s="138">
        <f>COUNTIF(BF67:BF69,BC67)+2+(IF(A69="WO",-1,0))+(IF(L72="WO",-1,0))</f>
        <v>2</v>
      </c>
      <c r="BF67" s="139" t="str">
        <f>IF(E70+100*F70+10000*G70+1000000*H70+100000000*I70=E71+100*F71+10000*G71+1000000*H71+100000000*I71,0,IF(E70+100*F70+10000*G70+1000000*H70+100000000*I70&gt;E71+100*F71+10000*G71+1000000*H71+100000000*I71,B69,B72))</f>
        <v>Samuel Vieira 11(FON)02803</v>
      </c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</row>
    <row r="68" spans="1:69" s="1" customFormat="1" ht="11.25" customHeight="1" thickBot="1">
      <c r="A68" s="12"/>
      <c r="B68" s="2"/>
      <c r="C68" s="2"/>
      <c r="D68" s="2"/>
      <c r="E68" s="2"/>
      <c r="F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50" t="s">
        <v>12</v>
      </c>
      <c r="Z68" s="2"/>
      <c r="AA68" s="2"/>
      <c r="AB68" s="2"/>
      <c r="AC68" s="2"/>
      <c r="AD68" s="2"/>
      <c r="AE68" s="2"/>
      <c r="AF68" s="133"/>
      <c r="AG68" s="133"/>
      <c r="AH68" s="133"/>
      <c r="AI68" s="133"/>
      <c r="AJ68" s="133"/>
      <c r="AK68" s="140"/>
      <c r="AL68" s="135"/>
      <c r="AM68" s="135"/>
      <c r="AN68" s="136">
        <v>0</v>
      </c>
      <c r="AO68" s="135"/>
      <c r="AP68" s="135"/>
      <c r="AQ68" s="135"/>
      <c r="AR68" s="135"/>
      <c r="AS68" s="135"/>
      <c r="AT68" s="133"/>
      <c r="AU68" s="133"/>
      <c r="AV68" s="133"/>
      <c r="AW68" s="133"/>
      <c r="AX68" s="141" t="str">
        <f>Z67</f>
        <v>SMsub13</v>
      </c>
      <c r="AY68" s="141">
        <f>AW67</f>
        <v>0</v>
      </c>
      <c r="AZ68" s="142" t="s">
        <v>40</v>
      </c>
      <c r="BA68" s="141" t="s">
        <v>41</v>
      </c>
      <c r="BB68" s="133">
        <f>AD67-0.1</f>
        <v>45.9</v>
      </c>
      <c r="BC68" s="133" t="str">
        <f>B72</f>
        <v>Samuel Vieira 11(FON)02803</v>
      </c>
      <c r="BD68" s="143">
        <f>IF((E71&gt;E70),1,IF(E70&gt;E71,-1,0))+IF((F71&gt;F70),1,IF(F70&gt;F71,-1,0))+IF((G71&gt;G70),1,IF(G70&gt;G71,-1,0))+IF((H71&gt;H70),1,IF(H70&gt;H71,-1,0))+IF((I71&gt;I70),1,IF(I70&gt;I71,-1,0))+IF((E75&gt;E76),1,IF(E76&gt;E75,-1,0))+IF((F75&gt;F76),1,IF(F76&gt;F75,-1,0))+IF((G75&gt;G76),1,IF(G76&gt;G75,-1,0))+IF((H75&gt;H76),1,IF(H76&gt;H75,-1,0))+IF((I75&gt;I76),1,IF(I76&gt;I75,-1,0))</f>
        <v>4</v>
      </c>
      <c r="BE68" s="144">
        <f>COUNTIF(BF67:BF69,BC68)+2+(IF(A72="WO",-1,0))+(IF(A74="WO",-1,0))</f>
        <v>4</v>
      </c>
      <c r="BF68" s="139" t="str">
        <f>IF(E75+100*F75+10000*G75+1000000*H75+100000000*I75=E76+100*F76+10000*G76+1000000*H76+100000000*I76,0,IF(E75+100*F75+10000*G75+1000000*H75+100000000*I75&gt;E76+100*F76+10000*G76+1000000*H76+100000000*I76,B74,B77))</f>
        <v>Samuel Vieira 11(FON)02803</v>
      </c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</row>
    <row r="69" spans="1:69" s="1" customFormat="1" ht="12.75" customHeight="1" thickBot="1">
      <c r="A69" s="111"/>
      <c r="B69" s="15" t="s">
        <v>14</v>
      </c>
      <c r="C69" s="15"/>
      <c r="D69" s="15"/>
      <c r="E69" s="15"/>
      <c r="F69" s="15"/>
      <c r="H69" s="15"/>
      <c r="I69" s="15"/>
      <c r="L69" s="3"/>
      <c r="M69" s="15" t="s">
        <v>42</v>
      </c>
      <c r="N69" s="15"/>
      <c r="O69" s="15"/>
      <c r="P69" s="15"/>
      <c r="Q69" s="15"/>
      <c r="R69" s="15"/>
      <c r="S69" s="15"/>
      <c r="T69" s="15"/>
      <c r="V69" s="112">
        <f>IF(P70+100*Q70+10000*R70+1000000*S70+100000000*T70=P71+100*Q71+10000*R71+1000000*S71+100000000*T71,0,IF(P70+100*Q70+10000*R70+1000000*S70+100000000*T70&gt;P71+100*Q71+10000*R71+1000000*S71+100000000*T71,1,2))</f>
        <v>1</v>
      </c>
      <c r="W69" s="163" t="s">
        <v>11</v>
      </c>
      <c r="X69" s="164"/>
      <c r="Y69" s="164"/>
      <c r="Z69" s="164"/>
      <c r="AA69" s="164"/>
      <c r="AB69" s="164"/>
      <c r="AC69" s="164"/>
      <c r="AD69" s="164"/>
      <c r="AE69" s="165"/>
      <c r="AF69" s="133"/>
      <c r="AG69" s="133"/>
      <c r="AH69" s="133"/>
      <c r="AI69" s="133"/>
      <c r="AJ69" s="133"/>
      <c r="AK69" s="140"/>
      <c r="AL69" s="135"/>
      <c r="AM69" s="135"/>
      <c r="AN69" s="136">
        <v>0</v>
      </c>
      <c r="AO69" s="135"/>
      <c r="AP69" s="135"/>
      <c r="AQ69" s="141"/>
      <c r="AR69" s="141"/>
      <c r="AS69" s="141"/>
      <c r="AT69" s="133"/>
      <c r="AU69" s="139"/>
      <c r="AV69" s="139"/>
      <c r="AW69" s="139"/>
      <c r="AX69" s="141" t="str">
        <f>X70</f>
        <v>Samuel Vieira 11(FON)02803</v>
      </c>
      <c r="AY69" s="141"/>
      <c r="AZ69" s="141" t="e">
        <f>MATCH(V70,AW69:AW72,0)</f>
        <v>#N/A</v>
      </c>
      <c r="BA69" s="141" t="e">
        <f>INDEX(AV69:AV86,AZ69,0)</f>
        <v>#N/A</v>
      </c>
      <c r="BB69" s="133">
        <f>AD67-0.099</f>
        <v>45.901</v>
      </c>
      <c r="BC69" s="145" t="str">
        <f>B77</f>
        <v>Frederico Chanolf 11(SHC)02397</v>
      </c>
      <c r="BD69" s="146">
        <f>-(IF((E75&gt;E76),1,IF(E76&gt;E75,-1,0))+IF((F75&gt;F76),1,IF(F76&gt;F75,-1,0))+IF((G75&gt;G76),1,IF(G76&gt;G75,-1,0))+IF((H75&gt;H76),1,IF(H76&gt;H75,-1,0))+IF((I75&gt;I76),1,IF(I76&gt;I75,-1,0)))-(IF((P71&gt;P70),1,IF(P70&gt;P71,-1,0))+IF((Q71&gt;Q70),1,IF(Q70&gt;Q71,-1,0))+IF((R71&gt;R70),1,IF(R70&gt;R71,-1,0))+IF((S71&gt;S70),1,IF(S70&gt;S71,-1,0))+IF((T71&gt;T70),1,IF(T70&gt;T71,-1,0)))</f>
        <v>-1</v>
      </c>
      <c r="BE69" s="147">
        <f>COUNTIF(BF67:BF69,BC69)+2+(IF(A77="WO",-1,0))+(IF(L69="WO",-1,0))</f>
        <v>3</v>
      </c>
      <c r="BF69" s="139" t="str">
        <f>IF(P70+100*Q70+10000*R70+1000000*S70+100000000*T70=P71+100*Q71+10000*R71+1000000*S71+100000000*T71,0,IF(P70+100*Q70+10000*R70+1000000*S70+100000000*T70&gt;P71+100*Q71+10000*R71+1000000*S71+100000000*T71,M69,M72))</f>
        <v>Frederico Chanolf 11(SHC)02397</v>
      </c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</row>
    <row r="70" spans="1:69" s="1" customFormat="1" ht="10.5" customHeight="1" thickBot="1">
      <c r="A70" s="111"/>
      <c r="D70" s="43" t="s">
        <v>57</v>
      </c>
      <c r="E70" s="48">
        <v>14</v>
      </c>
      <c r="F70" s="48">
        <v>11</v>
      </c>
      <c r="G70" s="48"/>
      <c r="H70" s="13"/>
      <c r="I70" s="13"/>
      <c r="J70" s="74">
        <f>1+AD67/1000</f>
        <v>1.046</v>
      </c>
      <c r="K70" s="112">
        <f>IF(E70+100*F70+10000*G70+1000000*H70+100000000*I70=E71+100*F71+10000*G71+1000000*H71+100000000*I71,0,IF(E70+100*F70+10000*G70+1000000*H70+100000000*I70&gt;E71+100*F71+10000*G71+1000000*H71+100000000*I71,1,2))</f>
        <v>2</v>
      </c>
      <c r="L70" s="3"/>
      <c r="O70" s="43" t="s">
        <v>57</v>
      </c>
      <c r="P70" s="48">
        <v>21</v>
      </c>
      <c r="Q70" s="48">
        <v>17</v>
      </c>
      <c r="R70" s="48">
        <v>21</v>
      </c>
      <c r="S70" s="13"/>
      <c r="T70" s="13"/>
      <c r="U70" s="74">
        <f>3+AD67/1000</f>
        <v>3.046</v>
      </c>
      <c r="V70" s="113">
        <v>1</v>
      </c>
      <c r="W70" s="75" t="s">
        <v>8</v>
      </c>
      <c r="X70" s="77" t="str">
        <f>IF(AND(K70&gt;0,K75&gt;0,V69&gt;0),VLOOKUP(BC70,BE70:BF72,2,FALSE),0)</f>
        <v>Samuel Vieira 11(FON)02803</v>
      </c>
      <c r="Y70" s="77"/>
      <c r="Z70" s="77"/>
      <c r="AA70" s="77"/>
      <c r="AB70" s="77"/>
      <c r="AC70" s="77"/>
      <c r="AD70" s="77"/>
      <c r="AE70" s="114"/>
      <c r="AF70" s="148">
        <f>AD67+0.01</f>
        <v>46.01</v>
      </c>
      <c r="AG70" s="149"/>
      <c r="AH70" s="139" t="str">
        <f>X70</f>
        <v>Samuel Vieira 11(FON)02803</v>
      </c>
      <c r="AI70" s="133">
        <v>1</v>
      </c>
      <c r="AJ70" s="133" t="str">
        <f>B67</f>
        <v>V TORNEIO REGIONAL - 4a REGIÃO - Sociedade Hípica de Campinas 2023</v>
      </c>
      <c r="AK70" s="140">
        <f>AD67</f>
        <v>46</v>
      </c>
      <c r="AL70" s="135" t="str">
        <f>Z67</f>
        <v>SMsub13</v>
      </c>
      <c r="AM70" s="135">
        <v>1</v>
      </c>
      <c r="AN70" s="136">
        <f>(AK70/1000+AM70)</f>
        <v>1.046</v>
      </c>
      <c r="AO70" s="140" t="str">
        <f>D70</f>
        <v>21/10,</v>
      </c>
      <c r="AP70" s="140" t="str">
        <f>D71</f>
        <v>14:30h</v>
      </c>
      <c r="AQ70" s="134" t="str">
        <f>B69</f>
        <v>Matheus Missola 12(FON)02495</v>
      </c>
      <c r="AR70" s="134"/>
      <c r="AS70" s="134" t="str">
        <f>B72</f>
        <v>Samuel Vieira 11(FON)02803</v>
      </c>
      <c r="AT70" s="139"/>
      <c r="AU70" s="133"/>
      <c r="AV70" s="139"/>
      <c r="AW70" s="139"/>
      <c r="AX70" s="141" t="str">
        <f>X71</f>
        <v>Frederico Chanolf 11(SHC)02397</v>
      </c>
      <c r="AY70" s="141"/>
      <c r="AZ70" s="141" t="e">
        <f>MATCH(V71,AW69:AW72,0)</f>
        <v>#N/A</v>
      </c>
      <c r="BA70" s="141" t="e">
        <f>INDEX(AV69:AV86,AZ70,0)</f>
        <v>#N/A</v>
      </c>
      <c r="BB70" s="133">
        <f>AD67-0.098</f>
        <v>45.902</v>
      </c>
      <c r="BC70" s="133">
        <f>LARGE(BE70:BE72,1)</f>
        <v>4004031</v>
      </c>
      <c r="BD70" s="150">
        <f>E70-E71+F70-F71+G70-G71+H70-H71+I70-I71+P71-P70+Q71-Q70+R71-R70+S71-S70+T71-T70</f>
        <v>-28</v>
      </c>
      <c r="BE70" s="151">
        <f>BE67*1000000+BD67*1000+BD70</f>
        <v>1996972</v>
      </c>
      <c r="BF70" s="133" t="str">
        <f>BC67</f>
        <v>Matheus Missola 12(FON)02495</v>
      </c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</row>
    <row r="71" spans="1:69" s="1" customFormat="1" ht="10.5" customHeight="1" thickBot="1">
      <c r="A71" s="111"/>
      <c r="D71" s="119" t="s">
        <v>46</v>
      </c>
      <c r="E71" s="48">
        <v>21</v>
      </c>
      <c r="F71" s="48">
        <v>21</v>
      </c>
      <c r="G71" s="48"/>
      <c r="H71" s="13"/>
      <c r="I71" s="13"/>
      <c r="J71" s="29"/>
      <c r="L71" s="3"/>
      <c r="O71" s="119" t="s">
        <v>50</v>
      </c>
      <c r="P71" s="48">
        <v>16</v>
      </c>
      <c r="Q71" s="48">
        <v>21</v>
      </c>
      <c r="R71" s="48">
        <v>11</v>
      </c>
      <c r="S71" s="13"/>
      <c r="T71" s="13"/>
      <c r="U71" s="29"/>
      <c r="V71" s="113">
        <v>2</v>
      </c>
      <c r="W71" s="115" t="s">
        <v>9</v>
      </c>
      <c r="X71" s="15" t="str">
        <f>IF(AND(K70&gt;0,K75&gt;0,V69&gt;0),VLOOKUP(BC71,BE70:BF72,2,FALSE),0)</f>
        <v>Frederico Chanolf 11(SHC)02397</v>
      </c>
      <c r="Y71" s="30"/>
      <c r="Z71" s="30"/>
      <c r="AA71" s="15"/>
      <c r="AB71" s="15"/>
      <c r="AC71" s="15"/>
      <c r="AD71" s="15"/>
      <c r="AE71" s="78"/>
      <c r="AF71" s="148">
        <f>AD67+0.02</f>
        <v>46.02</v>
      </c>
      <c r="AG71" s="149"/>
      <c r="AH71" s="139" t="str">
        <f>X71</f>
        <v>Frederico Chanolf 11(SHC)02397</v>
      </c>
      <c r="AI71" s="133">
        <v>2</v>
      </c>
      <c r="AJ71" s="133" t="str">
        <f>B67</f>
        <v>V TORNEIO REGIONAL - 4a REGIÃO - Sociedade Hípica de Campinas 2023</v>
      </c>
      <c r="AK71" s="140">
        <f>AD67</f>
        <v>46</v>
      </c>
      <c r="AL71" s="135" t="str">
        <f>Z67</f>
        <v>SMsub13</v>
      </c>
      <c r="AM71" s="135">
        <v>2</v>
      </c>
      <c r="AN71" s="136">
        <f>(AK71/1000+AM71)</f>
        <v>2.046</v>
      </c>
      <c r="AO71" s="140" t="str">
        <f>D75</f>
        <v>21/10,</v>
      </c>
      <c r="AP71" s="140" t="str">
        <f>D76</f>
        <v>15:30h</v>
      </c>
      <c r="AQ71" s="134" t="str">
        <f>B74</f>
        <v>Samuel Vieira 11(FON)02803</v>
      </c>
      <c r="AR71" s="134"/>
      <c r="AS71" s="134" t="str">
        <f>B77</f>
        <v>Frederico Chanolf 11(SHC)02397</v>
      </c>
      <c r="AT71" s="139"/>
      <c r="AU71" s="133"/>
      <c r="AV71" s="139"/>
      <c r="AW71" s="139"/>
      <c r="AX71" s="141" t="str">
        <f>X72</f>
        <v>Matheus Missola 12(FON)02495</v>
      </c>
      <c r="AY71" s="141"/>
      <c r="AZ71" s="141" t="e">
        <f>MATCH(V72,AW69:AW72,0)</f>
        <v>#N/A</v>
      </c>
      <c r="BA71" s="141" t="e">
        <f>INDEX(AV69:AV86,AZ71,0)</f>
        <v>#N/A</v>
      </c>
      <c r="BB71" s="133">
        <f>AD67-0.097</f>
        <v>45.903</v>
      </c>
      <c r="BC71" s="133">
        <f>LARGE(BE70:BE72,2)</f>
        <v>2998997</v>
      </c>
      <c r="BD71" s="152">
        <f>E71-E70+F71-F70+G71-G70+H71-H70+I71-I70+E75-E76+F75-F76+G75-G76+H75-H76+I75-I76</f>
        <v>31</v>
      </c>
      <c r="BE71" s="151">
        <f>BE68*1000000+BD68*1000+BD71</f>
        <v>4004031</v>
      </c>
      <c r="BF71" s="133" t="str">
        <f>BC68</f>
        <v>Samuel Vieira 11(FON)02803</v>
      </c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</row>
    <row r="72" spans="1:69" s="1" customFormat="1" ht="11.25" customHeight="1" thickBot="1">
      <c r="A72" s="3"/>
      <c r="B72" s="15" t="s">
        <v>20</v>
      </c>
      <c r="C72" s="15"/>
      <c r="D72" s="15"/>
      <c r="E72" s="15"/>
      <c r="F72" s="15"/>
      <c r="G72" s="30"/>
      <c r="H72" s="15"/>
      <c r="I72" s="15"/>
      <c r="J72" s="16"/>
      <c r="L72" s="3"/>
      <c r="M72" s="15" t="s">
        <v>14</v>
      </c>
      <c r="N72" s="15"/>
      <c r="O72" s="15"/>
      <c r="P72" s="15"/>
      <c r="Q72" s="15"/>
      <c r="R72" s="15"/>
      <c r="S72" s="15"/>
      <c r="T72" s="15"/>
      <c r="U72" s="16"/>
      <c r="V72" s="113">
        <v>3</v>
      </c>
      <c r="W72" s="116" t="s">
        <v>10</v>
      </c>
      <c r="X72" s="30" t="str">
        <f>IF(AND(K70&gt;0,K75&gt;0,V69&gt;0),VLOOKUP(BC72,BE70:BF72,2,FALSE),0)</f>
        <v>Matheus Missola 12(FON)02495</v>
      </c>
      <c r="Y72" s="30"/>
      <c r="Z72" s="30"/>
      <c r="AA72" s="30"/>
      <c r="AB72" s="30"/>
      <c r="AC72" s="30"/>
      <c r="AD72" s="30"/>
      <c r="AE72" s="117"/>
      <c r="AF72" s="148">
        <f>AD67+0.03</f>
        <v>46.03</v>
      </c>
      <c r="AG72" s="153"/>
      <c r="AH72" s="139" t="str">
        <f>X72</f>
        <v>Matheus Missola 12(FON)02495</v>
      </c>
      <c r="AI72" s="133">
        <v>3</v>
      </c>
      <c r="AJ72" s="133" t="str">
        <f>B67</f>
        <v>V TORNEIO REGIONAL - 4a REGIÃO - Sociedade Hípica de Campinas 2023</v>
      </c>
      <c r="AK72" s="140">
        <f>AD67</f>
        <v>46</v>
      </c>
      <c r="AL72" s="135" t="str">
        <f>Z67</f>
        <v>SMsub13</v>
      </c>
      <c r="AM72" s="135">
        <v>3</v>
      </c>
      <c r="AN72" s="136">
        <f>(AK72/1000+AM72)</f>
        <v>3.046</v>
      </c>
      <c r="AO72" s="140" t="str">
        <f>O70</f>
        <v>21/10,</v>
      </c>
      <c r="AP72" s="140" t="str">
        <f>O71</f>
        <v>16:30h</v>
      </c>
      <c r="AQ72" s="134" t="str">
        <f>M69</f>
        <v>Frederico Chanolf 11(SHC)02397</v>
      </c>
      <c r="AR72" s="134"/>
      <c r="AS72" s="134" t="str">
        <f>M72</f>
        <v>Matheus Missola 12(FON)02495</v>
      </c>
      <c r="AT72" s="139"/>
      <c r="AU72" s="133"/>
      <c r="AV72" s="139"/>
      <c r="AW72" s="139"/>
      <c r="AX72" s="139"/>
      <c r="AY72" s="139"/>
      <c r="AZ72" s="139"/>
      <c r="BA72" s="139"/>
      <c r="BB72" s="133"/>
      <c r="BC72" s="133">
        <f>LARGE(BE70:BE72,3)</f>
        <v>1996972</v>
      </c>
      <c r="BD72" s="154">
        <f>E76-E75+F76-F75+G76-G75+H76-H75+I76-I75+P70-P71+Q70-Q71+R70-R71+S70-S71+T70-T71</f>
        <v>-3</v>
      </c>
      <c r="BE72" s="155">
        <f>BE69*1000000+BD69*1000+BD72</f>
        <v>2998997</v>
      </c>
      <c r="BF72" s="145" t="str">
        <f>BC69</f>
        <v>Frederico Chanolf 11(SHC)02397</v>
      </c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</row>
    <row r="73" spans="1:69" s="1" customFormat="1" ht="9.7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F73" s="133"/>
      <c r="AG73" s="133"/>
      <c r="AH73" s="133"/>
      <c r="AI73" s="133"/>
      <c r="AJ73" s="133"/>
      <c r="AK73" s="140"/>
      <c r="AL73" s="135"/>
      <c r="AM73" s="135"/>
      <c r="AN73" s="136"/>
      <c r="AO73" s="140"/>
      <c r="AP73" s="140"/>
      <c r="AQ73" s="134"/>
      <c r="AR73" s="134"/>
      <c r="AS73" s="134"/>
      <c r="AT73" s="139"/>
      <c r="AU73" s="139"/>
      <c r="AV73" s="139"/>
      <c r="AW73" s="139"/>
      <c r="AX73" s="139"/>
      <c r="AY73" s="139"/>
      <c r="AZ73" s="139"/>
      <c r="BA73" s="139"/>
      <c r="BB73" s="133"/>
      <c r="BC73" s="133"/>
      <c r="BD73" s="133"/>
      <c r="BE73" s="133"/>
      <c r="BF73" s="156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</row>
    <row r="74" spans="1:69" s="1" customFormat="1" ht="9.75" customHeight="1">
      <c r="A74" s="3"/>
      <c r="B74" s="15" t="s">
        <v>20</v>
      </c>
      <c r="C74" s="15"/>
      <c r="D74" s="15"/>
      <c r="E74" s="15"/>
      <c r="F74" s="15"/>
      <c r="G74" s="15"/>
      <c r="H74" s="15"/>
      <c r="I74" s="15"/>
      <c r="K74" s="2"/>
      <c r="U74" s="2"/>
      <c r="V74" s="2"/>
      <c r="W74" s="2"/>
      <c r="X74" s="2"/>
      <c r="Y74" s="2"/>
      <c r="Z74" s="2"/>
      <c r="AF74" s="133"/>
      <c r="AG74" s="133"/>
      <c r="AH74" s="133"/>
      <c r="AI74" s="133"/>
      <c r="AJ74" s="133"/>
      <c r="AK74" s="140"/>
      <c r="AL74" s="135"/>
      <c r="AM74" s="135"/>
      <c r="AN74" s="136"/>
      <c r="AO74" s="140"/>
      <c r="AP74" s="140"/>
      <c r="AQ74" s="134"/>
      <c r="AR74" s="134"/>
      <c r="AS74" s="134"/>
      <c r="AT74" s="139"/>
      <c r="AU74" s="139"/>
      <c r="AV74" s="139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</row>
    <row r="75" spans="1:69" s="1" customFormat="1" ht="9.75" customHeight="1">
      <c r="A75" s="3"/>
      <c r="D75" s="43" t="s">
        <v>57</v>
      </c>
      <c r="E75" s="48">
        <v>21</v>
      </c>
      <c r="F75" s="48">
        <v>21</v>
      </c>
      <c r="G75" s="48"/>
      <c r="H75" s="13"/>
      <c r="I75" s="13"/>
      <c r="J75" s="74">
        <f>2+AD67/1000</f>
        <v>2.046</v>
      </c>
      <c r="K75" s="118">
        <f>IF(E75+100*F75+10000*G75+1000000*H75+100000000*I75=E76+100*F76+10000*G76+1000000*H76+100000000*I76,0,IF(E75+100*F75+10000*G75+1000000*H75+100000000*I75&gt;E76+100*F76+10000*G76+1000000*H76+100000000*I76,1,2))</f>
        <v>1</v>
      </c>
      <c r="U75" s="2"/>
      <c r="V75" s="2"/>
      <c r="W75" s="2"/>
      <c r="X75" s="2"/>
      <c r="Y75" s="2"/>
      <c r="Z75" s="2"/>
      <c r="AF75" s="133"/>
      <c r="AG75" s="133"/>
      <c r="AH75" s="133"/>
      <c r="AI75" s="133"/>
      <c r="AJ75" s="133"/>
      <c r="AK75" s="140"/>
      <c r="AL75" s="135"/>
      <c r="AM75" s="135"/>
      <c r="AN75" s="136"/>
      <c r="AO75" s="140"/>
      <c r="AP75" s="140"/>
      <c r="AQ75" s="134"/>
      <c r="AR75" s="134"/>
      <c r="AS75" s="134"/>
      <c r="AT75" s="139"/>
      <c r="AU75" s="139"/>
      <c r="AV75" s="139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</row>
    <row r="76" spans="1:69" s="1" customFormat="1" ht="9.75" customHeight="1">
      <c r="A76" s="3"/>
      <c r="D76" s="119" t="s">
        <v>48</v>
      </c>
      <c r="E76" s="48">
        <v>10</v>
      </c>
      <c r="F76" s="48">
        <v>18</v>
      </c>
      <c r="G76" s="48"/>
      <c r="H76" s="13"/>
      <c r="I76" s="13"/>
      <c r="J76" s="29"/>
      <c r="K76" s="2"/>
      <c r="U76" s="2"/>
      <c r="V76" s="2"/>
      <c r="W76" s="2"/>
      <c r="X76" s="2"/>
      <c r="Y76" s="2"/>
      <c r="Z76" s="2"/>
      <c r="AF76" s="133"/>
      <c r="AG76" s="133"/>
      <c r="AH76" s="133"/>
      <c r="AI76" s="133"/>
      <c r="AJ76" s="133"/>
      <c r="AK76" s="133"/>
      <c r="AL76" s="133"/>
      <c r="AM76" s="133"/>
      <c r="AN76" s="157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</row>
    <row r="77" spans="1:69" s="1" customFormat="1" ht="9.75" customHeight="1">
      <c r="A77" s="3"/>
      <c r="B77" s="15" t="s">
        <v>42</v>
      </c>
      <c r="C77" s="15"/>
      <c r="D77" s="15"/>
      <c r="E77" s="15"/>
      <c r="F77" s="15"/>
      <c r="G77" s="15"/>
      <c r="H77" s="15"/>
      <c r="I77" s="15"/>
      <c r="J77" s="16"/>
      <c r="K77" s="2"/>
      <c r="U77" s="2"/>
      <c r="V77" s="2"/>
      <c r="W77" s="2"/>
      <c r="X77" s="2"/>
      <c r="Y77" s="2"/>
      <c r="Z77" s="2"/>
      <c r="AF77" s="133"/>
      <c r="AG77" s="133"/>
      <c r="AH77" s="133"/>
      <c r="AI77" s="133"/>
      <c r="AJ77" s="133"/>
      <c r="AK77" s="133"/>
      <c r="AL77" s="133"/>
      <c r="AM77" s="133"/>
      <c r="AN77" s="157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</row>
    <row r="78" spans="1:69" s="1" customFormat="1" ht="9.75" customHeight="1" thickBo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U78" s="2"/>
      <c r="V78" s="2"/>
      <c r="W78" s="2"/>
      <c r="X78" s="2"/>
      <c r="Y78" s="2"/>
      <c r="Z78" s="2"/>
      <c r="AF78" s="133"/>
      <c r="AG78" s="133"/>
      <c r="AH78" s="133"/>
      <c r="AI78" s="133"/>
      <c r="AJ78" s="133"/>
      <c r="AK78" s="133"/>
      <c r="AL78" s="133"/>
      <c r="AM78" s="133"/>
      <c r="AN78" s="157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</row>
    <row r="79" spans="1:69" s="1" customFormat="1" ht="9.75" customHeight="1" thickBot="1">
      <c r="A79" s="3"/>
      <c r="B79" s="160" t="s">
        <v>29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2"/>
      <c r="Y79" s="6"/>
      <c r="Z79" s="160" t="s">
        <v>44</v>
      </c>
      <c r="AA79" s="161"/>
      <c r="AB79" s="162"/>
      <c r="AC79" s="5"/>
      <c r="AD79" s="160">
        <v>51</v>
      </c>
      <c r="AE79" s="162"/>
      <c r="AF79" s="131"/>
      <c r="AG79" s="131"/>
      <c r="AH79" s="131"/>
      <c r="AI79" s="131"/>
      <c r="AJ79" s="133"/>
      <c r="AK79" s="133"/>
      <c r="AL79" s="133"/>
      <c r="AM79" s="133"/>
      <c r="AN79" s="157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</row>
    <row r="80" spans="1:69" s="1" customFormat="1" ht="9.75" customHeight="1" thickBot="1">
      <c r="A80" s="3"/>
      <c r="B80" s="2"/>
      <c r="C80" s="2"/>
      <c r="D80" s="2"/>
      <c r="E80" s="2"/>
      <c r="F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50" t="s">
        <v>12</v>
      </c>
      <c r="Z80" s="2"/>
      <c r="AA80" s="2"/>
      <c r="AB80" s="2"/>
      <c r="AC80" s="2"/>
      <c r="AD80" s="2"/>
      <c r="AE80" s="2"/>
      <c r="AF80" s="131"/>
      <c r="AG80" s="131"/>
      <c r="AH80" s="131"/>
      <c r="AI80" s="131"/>
      <c r="AJ80" s="133"/>
      <c r="AK80" s="133"/>
      <c r="AL80" s="133"/>
      <c r="AM80" s="133"/>
      <c r="AN80" s="157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</row>
    <row r="81" spans="1:69" s="1" customFormat="1" ht="9.75" customHeight="1" thickBot="1">
      <c r="A81" s="3"/>
      <c r="B81" s="15" t="s">
        <v>43</v>
      </c>
      <c r="C81" s="15"/>
      <c r="D81" s="15"/>
      <c r="E81" s="15"/>
      <c r="F81" s="15"/>
      <c r="G81" s="15"/>
      <c r="H81" s="15"/>
      <c r="I81" s="15"/>
      <c r="K81" s="2"/>
      <c r="L81" s="2"/>
      <c r="M81" s="2"/>
      <c r="N81" s="2"/>
      <c r="O81" s="2"/>
      <c r="P81" s="2"/>
      <c r="Q81" s="2"/>
      <c r="R81" s="2"/>
      <c r="S81" s="2"/>
      <c r="T81" s="2"/>
      <c r="U81" s="163" t="s">
        <v>11</v>
      </c>
      <c r="V81" s="164"/>
      <c r="W81" s="164"/>
      <c r="X81" s="164"/>
      <c r="Y81" s="164"/>
      <c r="Z81" s="164"/>
      <c r="AA81" s="164"/>
      <c r="AB81" s="164"/>
      <c r="AC81" s="164"/>
      <c r="AD81" s="164"/>
      <c r="AE81" s="165"/>
      <c r="AF81" s="131"/>
      <c r="AG81" s="131"/>
      <c r="AH81" s="131"/>
      <c r="AI81" s="131"/>
      <c r="AJ81" s="133"/>
      <c r="AK81" s="133"/>
      <c r="AL81" s="133"/>
      <c r="AM81" s="133"/>
      <c r="AN81" s="157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</row>
    <row r="82" spans="1:69" s="1" customFormat="1" ht="9.75" customHeight="1">
      <c r="A82" s="3"/>
      <c r="D82" s="43" t="s">
        <v>57</v>
      </c>
      <c r="E82" s="48">
        <v>20</v>
      </c>
      <c r="F82" s="48">
        <v>21</v>
      </c>
      <c r="G82" s="48"/>
      <c r="H82" s="13"/>
      <c r="I82" s="13"/>
      <c r="J82" s="74">
        <f>1+AD79/1000</f>
        <v>1.051</v>
      </c>
      <c r="K82" s="43"/>
      <c r="L82" s="5"/>
      <c r="M82" s="5"/>
      <c r="N82" s="5"/>
      <c r="O82" s="52"/>
      <c r="P82" s="5"/>
      <c r="Q82" s="5"/>
      <c r="R82" s="2"/>
      <c r="S82" s="43"/>
      <c r="T82" s="35">
        <v>1</v>
      </c>
      <c r="U82" s="75" t="s">
        <v>8</v>
      </c>
      <c r="V82" s="76" t="str">
        <f>IF(E82+100*F82+10000*G82+1000000*H82+100000000*I82=E83+100*F83+10000*G83+1000000*H83+100000000*I83,"",IF(E82+100*F82+10000*G82+1000000*H82+100000000*I82&gt;E83+100*F83+10000*G83+1000000*H83+100000000*I83,B81,B84))</f>
        <v>Samuel Huang 13(FON)02800</v>
      </c>
      <c r="W82" s="77"/>
      <c r="X82" s="77"/>
      <c r="Y82" s="77"/>
      <c r="Z82" s="77"/>
      <c r="AA82" s="77"/>
      <c r="AB82" s="77"/>
      <c r="AC82" s="77"/>
      <c r="AD82" s="77"/>
      <c r="AE82" s="78"/>
      <c r="AF82" s="131"/>
      <c r="AG82" s="131"/>
      <c r="AH82" s="131"/>
      <c r="AI82" s="131"/>
      <c r="AJ82" s="133"/>
      <c r="AK82" s="133"/>
      <c r="AL82" s="133"/>
      <c r="AM82" s="133"/>
      <c r="AN82" s="157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</row>
    <row r="83" spans="1:69" s="1" customFormat="1" ht="9.75" customHeight="1" thickBot="1">
      <c r="A83" s="3"/>
      <c r="D83" s="119" t="s">
        <v>48</v>
      </c>
      <c r="E83" s="48">
        <v>22</v>
      </c>
      <c r="F83" s="48">
        <v>23</v>
      </c>
      <c r="G83" s="48"/>
      <c r="H83" s="13"/>
      <c r="I83" s="13"/>
      <c r="J83" s="29"/>
      <c r="K83" s="4"/>
      <c r="L83" s="2"/>
      <c r="M83" s="2"/>
      <c r="N83" s="2"/>
      <c r="O83" s="2"/>
      <c r="P83" s="2"/>
      <c r="Q83" s="2"/>
      <c r="R83" s="2"/>
      <c r="S83" s="43"/>
      <c r="T83" s="35">
        <v>2</v>
      </c>
      <c r="U83" s="79" t="s">
        <v>9</v>
      </c>
      <c r="V83" s="80" t="str">
        <f>IF(E82+100*F82+10000*G82+1000000*H82+100000000*I82=E83+100*F83+10000*G83+1000000*H83+100000000*I83,"",IF(E82+100*F82+10000*G82+1000000*H82+100000000*I82&gt;E83+100*F83+10000*G83+1000000*H83+100000000*I83,B84,B81))</f>
        <v>Guilherme Chanoft 13(SHC)02646</v>
      </c>
      <c r="W83" s="81"/>
      <c r="X83" s="80"/>
      <c r="Y83" s="80"/>
      <c r="Z83" s="80"/>
      <c r="AA83" s="81"/>
      <c r="AB83" s="81"/>
      <c r="AC83" s="81"/>
      <c r="AD83" s="81"/>
      <c r="AE83" s="82"/>
      <c r="AF83" s="131"/>
      <c r="AG83" s="131"/>
      <c r="AH83" s="131"/>
      <c r="AI83" s="131"/>
      <c r="AJ83" s="133"/>
      <c r="AK83" s="133"/>
      <c r="AL83" s="133"/>
      <c r="AM83" s="133"/>
      <c r="AN83" s="157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</row>
    <row r="84" spans="1:69" s="1" customFormat="1" ht="9.75" customHeight="1">
      <c r="A84" s="3"/>
      <c r="B84" s="15" t="s">
        <v>19</v>
      </c>
      <c r="C84" s="15"/>
      <c r="D84" s="15"/>
      <c r="E84" s="15"/>
      <c r="F84" s="15"/>
      <c r="G84" s="15"/>
      <c r="H84" s="15"/>
      <c r="I84" s="15"/>
      <c r="J84" s="1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83"/>
      <c r="Y84" s="84"/>
      <c r="Z84" s="2"/>
      <c r="AA84" s="2"/>
      <c r="AB84" s="2"/>
      <c r="AC84" s="2"/>
      <c r="AD84" s="2"/>
      <c r="AE84" s="2"/>
      <c r="AF84" s="131"/>
      <c r="AG84" s="131"/>
      <c r="AH84" s="131"/>
      <c r="AI84" s="131"/>
      <c r="AJ84" s="133"/>
      <c r="AK84" s="133"/>
      <c r="AL84" s="133"/>
      <c r="AM84" s="133"/>
      <c r="AN84" s="157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</row>
    <row r="85" spans="1:69" s="1" customFormat="1" ht="9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U85" s="2"/>
      <c r="V85" s="2"/>
      <c r="W85" s="2"/>
      <c r="X85" s="2"/>
      <c r="Y85" s="2"/>
      <c r="Z85" s="2"/>
      <c r="AF85" s="133"/>
      <c r="AG85" s="133"/>
      <c r="AH85" s="133"/>
      <c r="AI85" s="133"/>
      <c r="AJ85" s="133"/>
      <c r="AK85" s="133"/>
      <c r="AL85" s="133"/>
      <c r="AM85" s="133"/>
      <c r="AN85" s="157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</row>
    <row r="86" spans="1:69" s="1" customFormat="1" ht="9.7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U86" s="2"/>
      <c r="V86" s="2"/>
      <c r="W86" s="2"/>
      <c r="X86" s="2"/>
      <c r="Y86" s="2"/>
      <c r="Z86" s="2"/>
      <c r="AF86" s="133"/>
      <c r="AG86" s="133"/>
      <c r="AH86" s="133"/>
      <c r="AI86" s="133"/>
      <c r="AJ86" s="133"/>
      <c r="AK86" s="133"/>
      <c r="AL86" s="133"/>
      <c r="AM86" s="133"/>
      <c r="AN86" s="157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</row>
    <row r="87" spans="1:69" s="28" customFormat="1" ht="10.5" customHeight="1">
      <c r="A87" s="20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0"/>
      <c r="AF87" s="158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</row>
    <row r="88" spans="1:69" s="28" customFormat="1" ht="10.5" customHeight="1">
      <c r="A88" s="20"/>
      <c r="B88" s="70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 t="s">
        <v>63</v>
      </c>
      <c r="AE88" s="20"/>
      <c r="AF88" s="158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</row>
    <row r="89" spans="1:69" s="28" customFormat="1" ht="10.5" customHeight="1">
      <c r="A89" s="2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0"/>
      <c r="AF89" s="158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</row>
    <row r="90" spans="1:69" s="28" customFormat="1" ht="10.5" customHeight="1">
      <c r="A90" s="20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0"/>
      <c r="AF90" s="158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</row>
    <row r="91" spans="1:69" s="28" customFormat="1" ht="10.5" customHeight="1">
      <c r="A91" s="20"/>
      <c r="B91" s="20"/>
      <c r="C91" s="20"/>
      <c r="D91" s="20"/>
      <c r="E91" s="20"/>
      <c r="F91" s="20"/>
      <c r="G91" s="20"/>
      <c r="H91" s="20"/>
      <c r="I91" s="25"/>
      <c r="J91" s="25"/>
      <c r="K91" s="25"/>
      <c r="L91" s="25"/>
      <c r="M91" s="25"/>
      <c r="N91" s="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0"/>
      <c r="AF91" s="158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</row>
    <row r="92" spans="1:69" s="28" customFormat="1" ht="10.5" customHeight="1">
      <c r="A92" s="20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0"/>
      <c r="AF92" s="158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</row>
    <row r="93" spans="1:69" s="28" customFormat="1" ht="10.5" customHeight="1">
      <c r="A93" s="20"/>
      <c r="B93" s="71"/>
      <c r="C93" s="72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0"/>
      <c r="AF93" s="158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</row>
    <row r="94" spans="1:69" s="28" customFormat="1" ht="10.5" customHeight="1">
      <c r="A94" s="20"/>
      <c r="B94" s="71"/>
      <c r="C94" s="72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0"/>
      <c r="AF94" s="158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</row>
    <row r="95" spans="1:69" s="28" customFormat="1" ht="10.5" customHeight="1">
      <c r="A95" s="20"/>
      <c r="B95" s="71"/>
      <c r="C95" s="72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0"/>
      <c r="AF95" s="126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</row>
    <row r="96" spans="1:69" s="28" customFormat="1" ht="16.5" customHeight="1">
      <c r="A96" s="20"/>
      <c r="B96" s="71"/>
      <c r="C96" s="72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0"/>
      <c r="AF96" s="126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</row>
    <row r="97" spans="1:69" s="28" customFormat="1" ht="10.5" customHeight="1">
      <c r="A97" s="20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0"/>
      <c r="AF97" s="126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</row>
  </sheetData>
  <sheetProtection formatCells="0" formatColumns="0" formatRows="0" insertColumns="0" insertRows="0" insertHyperlinks="0" deleteColumns="0" deleteRows="0" sort="0" autoFilter="0" pivotTables="0"/>
  <mergeCells count="36">
    <mergeCell ref="U62:AE62"/>
    <mergeCell ref="U81:AE81"/>
    <mergeCell ref="B67:X67"/>
    <mergeCell ref="Z67:AB67"/>
    <mergeCell ref="AD67:AE67"/>
    <mergeCell ref="W69:AE69"/>
    <mergeCell ref="B79:X79"/>
    <mergeCell ref="Z79:AB79"/>
    <mergeCell ref="AD79:AE79"/>
    <mergeCell ref="A10:AE10"/>
    <mergeCell ref="A13:AE13"/>
    <mergeCell ref="Z38:AB38"/>
    <mergeCell ref="AD38:AE38"/>
    <mergeCell ref="B60:X60"/>
    <mergeCell ref="Z60:AB60"/>
    <mergeCell ref="AD60:AE60"/>
    <mergeCell ref="C16:Q16"/>
    <mergeCell ref="U33:AE33"/>
    <mergeCell ref="B38:X38"/>
    <mergeCell ref="A3:AE3"/>
    <mergeCell ref="A5:AE5"/>
    <mergeCell ref="A9:AE9"/>
    <mergeCell ref="A1:AE1"/>
    <mergeCell ref="A12:AE12"/>
    <mergeCell ref="A2:AE2"/>
    <mergeCell ref="A8:AE8"/>
    <mergeCell ref="A11:AE11"/>
    <mergeCell ref="A6:AE6"/>
    <mergeCell ref="A7:AE7"/>
    <mergeCell ref="B24:X24"/>
    <mergeCell ref="Z24:AB24"/>
    <mergeCell ref="AD24:AE24"/>
    <mergeCell ref="U26:AE26"/>
    <mergeCell ref="B31:X31"/>
    <mergeCell ref="Z31:AB31"/>
    <mergeCell ref="AD31:AE31"/>
  </mergeCells>
  <printOptions/>
  <pageMargins left="0.14" right="0.13" top="0.18" bottom="0.5" header="0.14" footer="0.5"/>
  <pageSetup orientation="portrait" paperSize="9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LUIS MANUEL</cp:lastModifiedBy>
  <cp:lastPrinted>2023-02-08T17:50:04Z</cp:lastPrinted>
  <dcterms:created xsi:type="dcterms:W3CDTF">2007-05-04T17:18:49Z</dcterms:created>
  <dcterms:modified xsi:type="dcterms:W3CDTF">2023-10-23T08:56:14Z</dcterms:modified>
  <cp:category/>
  <cp:version/>
  <cp:contentType/>
  <cp:contentStatus/>
</cp:coreProperties>
</file>